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DORA\Desktop\"/>
    </mc:Choice>
  </mc:AlternateContent>
  <xr:revisionPtr revIDLastSave="0" documentId="13_ncr:1_{86C02F2A-ED18-4E9F-A539-A099E3A9D7A9}" xr6:coauthVersionLast="38" xr6:coauthVersionMax="38" xr10:uidLastSave="{00000000-0000-0000-0000-000000000000}"/>
  <bookViews>
    <workbookView xWindow="0" yWindow="0" windowWidth="20490" windowHeight="7545" activeTab="6" xr2:uid="{1385D163-6514-4F02-A3E4-5F225BD54469}"/>
  </bookViews>
  <sheets>
    <sheet name="BD EMPLEADOS" sheetId="1" r:id="rId1"/>
    <sheet name="NOMINA" sheetId="2" r:id="rId2"/>
    <sheet name="COLILLA DE PAGO" sheetId="3" r:id="rId3"/>
    <sheet name="14" sheetId="4" r:id="rId4"/>
    <sheet name="15" sheetId="5" r:id="rId5"/>
    <sheet name="16" sheetId="6" r:id="rId6"/>
    <sheet name="17" sheetId="8" r:id="rId7"/>
  </sheets>
  <externalReferences>
    <externalReference r:id="rId8"/>
  </externalReferences>
  <definedNames>
    <definedName name="bdempleados">'[1]BD EMPLEADOS'!$1:$1048576</definedName>
    <definedName name="BNOMINA">[1]Nómina!$1:$1048576</definedName>
  </definedNames>
  <calcPr calcId="181029"/>
  <pivotCaches>
    <pivotCache cacheId="6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1" i="5" l="1"/>
  <c r="J51" i="5"/>
  <c r="E51" i="5"/>
  <c r="F51" i="5" s="1"/>
  <c r="C51" i="5"/>
  <c r="Q51" i="5" s="1"/>
  <c r="B51" i="5"/>
  <c r="E50" i="5"/>
  <c r="F50" i="5" s="1"/>
  <c r="C50" i="5"/>
  <c r="J50" i="5" s="1"/>
  <c r="B50" i="5"/>
  <c r="F49" i="5"/>
  <c r="E49" i="5"/>
  <c r="C49" i="5"/>
  <c r="B49" i="5"/>
  <c r="G48" i="5"/>
  <c r="E48" i="5"/>
  <c r="F48" i="5" s="1"/>
  <c r="C48" i="5"/>
  <c r="J48" i="5" s="1"/>
  <c r="B48" i="5"/>
  <c r="G47" i="5"/>
  <c r="E47" i="5"/>
  <c r="F47" i="5" s="1"/>
  <c r="C47" i="5"/>
  <c r="J47" i="5" s="1"/>
  <c r="B47" i="5"/>
  <c r="J45" i="5"/>
  <c r="E45" i="5"/>
  <c r="F45" i="5" s="1"/>
  <c r="C45" i="5"/>
  <c r="Q45" i="5" s="1"/>
  <c r="B45" i="5"/>
  <c r="E44" i="5"/>
  <c r="F44" i="5" s="1"/>
  <c r="C44" i="5"/>
  <c r="J44" i="5" s="1"/>
  <c r="B44" i="5"/>
  <c r="F43" i="5"/>
  <c r="E43" i="5"/>
  <c r="C43" i="5"/>
  <c r="B43" i="5"/>
  <c r="Y41" i="5"/>
  <c r="Q41" i="5"/>
  <c r="J41" i="5"/>
  <c r="I41" i="5"/>
  <c r="H41" i="5"/>
  <c r="E41" i="5"/>
  <c r="F41" i="5" s="1"/>
  <c r="C41" i="5"/>
  <c r="G41" i="5" s="1"/>
  <c r="B41" i="5"/>
  <c r="J40" i="5"/>
  <c r="E40" i="5"/>
  <c r="F40" i="5" s="1"/>
  <c r="C40" i="5"/>
  <c r="Q40" i="5" s="1"/>
  <c r="B40" i="5"/>
  <c r="Y38" i="5"/>
  <c r="X38" i="5"/>
  <c r="Q38" i="5"/>
  <c r="P38" i="5"/>
  <c r="J38" i="5"/>
  <c r="I38" i="5"/>
  <c r="H38" i="5"/>
  <c r="G38" i="5"/>
  <c r="F38" i="5"/>
  <c r="N38" i="5" s="1"/>
  <c r="E38" i="5"/>
  <c r="C38" i="5"/>
  <c r="B38" i="5"/>
  <c r="Y37" i="5"/>
  <c r="X37" i="5"/>
  <c r="R37" i="5"/>
  <c r="Q37" i="5"/>
  <c r="P37" i="5"/>
  <c r="J37" i="5"/>
  <c r="I37" i="5"/>
  <c r="H37" i="5"/>
  <c r="F37" i="5"/>
  <c r="E37" i="5"/>
  <c r="C37" i="5"/>
  <c r="G37" i="5" s="1"/>
  <c r="K37" i="5" s="1"/>
  <c r="B37" i="5"/>
  <c r="Y36" i="5"/>
  <c r="Q36" i="5"/>
  <c r="I36" i="5"/>
  <c r="E36" i="5"/>
  <c r="F36" i="5" s="1"/>
  <c r="C36" i="5"/>
  <c r="H36" i="5" s="1"/>
  <c r="B36" i="5"/>
  <c r="R35" i="5"/>
  <c r="E35" i="5"/>
  <c r="F35" i="5" s="1"/>
  <c r="C35" i="5"/>
  <c r="B35" i="5"/>
  <c r="E34" i="5"/>
  <c r="F34" i="5" s="1"/>
  <c r="C34" i="5"/>
  <c r="B34" i="5"/>
  <c r="F33" i="5"/>
  <c r="E33" i="5"/>
  <c r="C33" i="5"/>
  <c r="B33" i="5"/>
  <c r="Y31" i="5"/>
  <c r="R31" i="5"/>
  <c r="Q31" i="5"/>
  <c r="J31" i="5"/>
  <c r="I31" i="5"/>
  <c r="E31" i="5"/>
  <c r="F31" i="5" s="1"/>
  <c r="C31" i="5"/>
  <c r="H31" i="5" s="1"/>
  <c r="B31" i="5"/>
  <c r="Y29" i="5"/>
  <c r="Q29" i="5"/>
  <c r="P29" i="5"/>
  <c r="N29" i="5"/>
  <c r="J29" i="5"/>
  <c r="I29" i="5"/>
  <c r="H29" i="5"/>
  <c r="G29" i="5"/>
  <c r="F29" i="5"/>
  <c r="E29" i="5"/>
  <c r="C29" i="5"/>
  <c r="B29" i="5"/>
  <c r="Y28" i="5"/>
  <c r="X28" i="5"/>
  <c r="R28" i="5"/>
  <c r="Q28" i="5"/>
  <c r="P28" i="5"/>
  <c r="J28" i="5"/>
  <c r="I28" i="5"/>
  <c r="H28" i="5"/>
  <c r="G28" i="5"/>
  <c r="F28" i="5"/>
  <c r="E28" i="5"/>
  <c r="C28" i="5"/>
  <c r="B28" i="5"/>
  <c r="E26" i="5"/>
  <c r="F26" i="5" s="1"/>
  <c r="C26" i="5"/>
  <c r="B26" i="5"/>
  <c r="H25" i="5"/>
  <c r="G25" i="5"/>
  <c r="E25" i="5"/>
  <c r="F25" i="5" s="1"/>
  <c r="C25" i="5"/>
  <c r="J25" i="5" s="1"/>
  <c r="B25" i="5"/>
  <c r="Q24" i="5"/>
  <c r="J24" i="5"/>
  <c r="I24" i="5"/>
  <c r="H24" i="5"/>
  <c r="G24" i="5"/>
  <c r="E24" i="5"/>
  <c r="F24" i="5" s="1"/>
  <c r="C24" i="5"/>
  <c r="B24" i="5"/>
  <c r="J22" i="5"/>
  <c r="F22" i="5"/>
  <c r="E22" i="5"/>
  <c r="C22" i="5"/>
  <c r="B22" i="5"/>
  <c r="G21" i="5"/>
  <c r="F21" i="5"/>
  <c r="E21" i="5"/>
  <c r="C21" i="5"/>
  <c r="B21" i="5"/>
  <c r="H20" i="5"/>
  <c r="F20" i="5"/>
  <c r="E20" i="5"/>
  <c r="C20" i="5"/>
  <c r="G20" i="5" s="1"/>
  <c r="B20" i="5"/>
  <c r="X19" i="5"/>
  <c r="I19" i="5"/>
  <c r="M19" i="5" s="1"/>
  <c r="F19" i="5"/>
  <c r="Y19" i="5" s="1"/>
  <c r="E19" i="5"/>
  <c r="C19" i="5"/>
  <c r="J19" i="5" s="1"/>
  <c r="N19" i="5" s="1"/>
  <c r="B19" i="5"/>
  <c r="Q18" i="5"/>
  <c r="G18" i="5"/>
  <c r="E18" i="5"/>
  <c r="F18" i="5" s="1"/>
  <c r="C18" i="5"/>
  <c r="J18" i="5" s="1"/>
  <c r="B18" i="5"/>
  <c r="H17" i="5"/>
  <c r="F17" i="5"/>
  <c r="E17" i="5"/>
  <c r="C17" i="5"/>
  <c r="J17" i="5" s="1"/>
  <c r="B17" i="5"/>
  <c r="Q16" i="5"/>
  <c r="I16" i="5"/>
  <c r="G16" i="5"/>
  <c r="F16" i="5"/>
  <c r="N16" i="5" s="1"/>
  <c r="E16" i="5"/>
  <c r="C16" i="5"/>
  <c r="J16" i="5" s="1"/>
  <c r="B16" i="5"/>
  <c r="F15" i="5"/>
  <c r="F14" i="5"/>
  <c r="R14" i="5" s="1"/>
  <c r="E14" i="5"/>
  <c r="C14" i="5"/>
  <c r="J14" i="5" s="1"/>
  <c r="B14" i="5"/>
  <c r="AA13" i="5"/>
  <c r="Z13" i="5"/>
  <c r="N13" i="5"/>
  <c r="K13" i="5"/>
  <c r="J13" i="5"/>
  <c r="I13" i="5"/>
  <c r="H13" i="5"/>
  <c r="F13" i="5"/>
  <c r="E13" i="5"/>
  <c r="C13" i="5"/>
  <c r="Q13" i="5" s="1"/>
  <c r="B13" i="5"/>
  <c r="R8" i="5"/>
  <c r="W37" i="5" s="1"/>
  <c r="R26" i="5" l="1"/>
  <c r="Y26" i="5"/>
  <c r="X26" i="5"/>
  <c r="P26" i="5"/>
  <c r="N26" i="5"/>
  <c r="W26" i="5"/>
  <c r="K18" i="5"/>
  <c r="X18" i="5"/>
  <c r="N18" i="5"/>
  <c r="W18" i="5"/>
  <c r="R18" i="5"/>
  <c r="P18" i="5"/>
  <c r="Y18" i="5"/>
  <c r="L24" i="5"/>
  <c r="K24" i="5"/>
  <c r="R24" i="5"/>
  <c r="W24" i="5"/>
  <c r="F27" i="5"/>
  <c r="X24" i="5"/>
  <c r="P24" i="5"/>
  <c r="M24" i="5"/>
  <c r="Y24" i="5"/>
  <c r="N24" i="5"/>
  <c r="L25" i="5"/>
  <c r="K25" i="5"/>
  <c r="R25" i="5"/>
  <c r="Y25" i="5"/>
  <c r="X25" i="5"/>
  <c r="W25" i="5"/>
  <c r="P25" i="5"/>
  <c r="N25" i="5"/>
  <c r="N17" i="5"/>
  <c r="J33" i="5"/>
  <c r="Q33" i="5"/>
  <c r="I33" i="5"/>
  <c r="H33" i="5"/>
  <c r="L33" i="5" s="1"/>
  <c r="G33" i="5"/>
  <c r="L13" i="5"/>
  <c r="M14" i="5"/>
  <c r="H16" i="5"/>
  <c r="L16" i="5" s="1"/>
  <c r="P16" i="5"/>
  <c r="X16" i="5"/>
  <c r="G17" i="5"/>
  <c r="W17" i="5"/>
  <c r="J26" i="5"/>
  <c r="Q26" i="5"/>
  <c r="I26" i="5"/>
  <c r="M26" i="5" s="1"/>
  <c r="H26" i="5"/>
  <c r="L26" i="5" s="1"/>
  <c r="Y40" i="5"/>
  <c r="X40" i="5"/>
  <c r="P40" i="5"/>
  <c r="W40" i="5"/>
  <c r="N40" i="5"/>
  <c r="F42" i="5"/>
  <c r="M40" i="5"/>
  <c r="K47" i="5"/>
  <c r="Y47" i="5"/>
  <c r="P47" i="5"/>
  <c r="F52" i="5"/>
  <c r="X47" i="5"/>
  <c r="W47" i="5"/>
  <c r="N47" i="5"/>
  <c r="Y51" i="5"/>
  <c r="X51" i="5"/>
  <c r="P51" i="5"/>
  <c r="W51" i="5"/>
  <c r="N51" i="5"/>
  <c r="J34" i="5"/>
  <c r="Q34" i="5"/>
  <c r="I34" i="5"/>
  <c r="M34" i="5" s="1"/>
  <c r="H34" i="5"/>
  <c r="G34" i="5"/>
  <c r="K20" i="5"/>
  <c r="R20" i="5"/>
  <c r="Y20" i="5"/>
  <c r="Y16" i="5"/>
  <c r="L20" i="5"/>
  <c r="R34" i="5"/>
  <c r="Y34" i="5"/>
  <c r="X34" i="5"/>
  <c r="P34" i="5"/>
  <c r="W34" i="5"/>
  <c r="N34" i="5"/>
  <c r="W38" i="5"/>
  <c r="R40" i="5"/>
  <c r="Y45" i="5"/>
  <c r="X45" i="5"/>
  <c r="P45" i="5"/>
  <c r="W45" i="5"/>
  <c r="N45" i="5"/>
  <c r="R50" i="5"/>
  <c r="Y50" i="5"/>
  <c r="X50" i="5"/>
  <c r="P50" i="5"/>
  <c r="W50" i="5"/>
  <c r="N50" i="5"/>
  <c r="R51" i="5"/>
  <c r="R21" i="5"/>
  <c r="Y21" i="5"/>
  <c r="X21" i="5"/>
  <c r="P21" i="5"/>
  <c r="K33" i="5"/>
  <c r="R33" i="5"/>
  <c r="F39" i="5"/>
  <c r="Y33" i="5"/>
  <c r="X33" i="5"/>
  <c r="P33" i="5"/>
  <c r="W33" i="5"/>
  <c r="F53" i="5"/>
  <c r="P13" i="5"/>
  <c r="G14" i="5"/>
  <c r="K14" i="5" s="1"/>
  <c r="W14" i="5"/>
  <c r="R16" i="5"/>
  <c r="E62" i="5" s="1"/>
  <c r="I17" i="5"/>
  <c r="M17" i="5" s="1"/>
  <c r="Q17" i="5"/>
  <c r="Y17" i="5"/>
  <c r="H18" i="5"/>
  <c r="L18" i="5" s="1"/>
  <c r="W20" i="5"/>
  <c r="W21" i="5"/>
  <c r="G13" i="5"/>
  <c r="H14" i="5"/>
  <c r="L14" i="5" s="1"/>
  <c r="P14" i="5"/>
  <c r="X14" i="5"/>
  <c r="K16" i="5"/>
  <c r="R17" i="5"/>
  <c r="I18" i="5"/>
  <c r="M18" i="5" s="1"/>
  <c r="X20" i="5"/>
  <c r="M21" i="5"/>
  <c r="G26" i="5"/>
  <c r="K26" i="5" s="1"/>
  <c r="N28" i="5"/>
  <c r="M29" i="5"/>
  <c r="L29" i="5"/>
  <c r="K29" i="5"/>
  <c r="R29" i="5"/>
  <c r="M33" i="5"/>
  <c r="K34" i="5"/>
  <c r="Q35" i="5"/>
  <c r="I35" i="5"/>
  <c r="M35" i="5" s="1"/>
  <c r="H35" i="5"/>
  <c r="G35" i="5"/>
  <c r="J49" i="5"/>
  <c r="Q49" i="5"/>
  <c r="I49" i="5"/>
  <c r="H49" i="5"/>
  <c r="L49" i="5" s="1"/>
  <c r="G49" i="5"/>
  <c r="W16" i="5"/>
  <c r="Y22" i="5"/>
  <c r="X22" i="5"/>
  <c r="P22" i="5"/>
  <c r="W22" i="5"/>
  <c r="P17" i="5"/>
  <c r="X17" i="5"/>
  <c r="W19" i="5"/>
  <c r="I14" i="5"/>
  <c r="K17" i="5"/>
  <c r="R19" i="5"/>
  <c r="P19" i="5"/>
  <c r="N20" i="5"/>
  <c r="N22" i="5"/>
  <c r="F23" i="5"/>
  <c r="K55" i="5" s="1"/>
  <c r="W28" i="5"/>
  <c r="X31" i="5"/>
  <c r="P31" i="5"/>
  <c r="W31" i="5"/>
  <c r="N31" i="5"/>
  <c r="M31" i="5"/>
  <c r="F32" i="5"/>
  <c r="L31" i="5"/>
  <c r="N33" i="5"/>
  <c r="L34" i="5"/>
  <c r="Y35" i="5"/>
  <c r="X35" i="5"/>
  <c r="P35" i="5"/>
  <c r="W35" i="5"/>
  <c r="K35" i="5"/>
  <c r="X36" i="5"/>
  <c r="P36" i="5"/>
  <c r="W36" i="5"/>
  <c r="M36" i="5"/>
  <c r="L36" i="5"/>
  <c r="R36" i="5"/>
  <c r="R44" i="5"/>
  <c r="Y44" i="5"/>
  <c r="X44" i="5"/>
  <c r="P44" i="5"/>
  <c r="W44" i="5"/>
  <c r="N44" i="5"/>
  <c r="M44" i="5"/>
  <c r="R45" i="5"/>
  <c r="N14" i="5"/>
  <c r="K21" i="5"/>
  <c r="Q14" i="5"/>
  <c r="E60" i="5" s="1"/>
  <c r="Y14" i="5"/>
  <c r="H62" i="5" s="1"/>
  <c r="M16" i="5"/>
  <c r="L17" i="5"/>
  <c r="G19" i="5"/>
  <c r="K19" i="5" s="1"/>
  <c r="O19" i="5" s="1"/>
  <c r="S19" i="5" s="1"/>
  <c r="Q19" i="5"/>
  <c r="J20" i="5"/>
  <c r="Q20" i="5"/>
  <c r="I20" i="5"/>
  <c r="M20" i="5" s="1"/>
  <c r="J21" i="5"/>
  <c r="N21" i="5" s="1"/>
  <c r="Q21" i="5"/>
  <c r="I21" i="5"/>
  <c r="H21" i="5"/>
  <c r="L21" i="5" s="1"/>
  <c r="Q22" i="5"/>
  <c r="I22" i="5"/>
  <c r="M22" i="5" s="1"/>
  <c r="H22" i="5"/>
  <c r="L22" i="5" s="1"/>
  <c r="G22" i="5"/>
  <c r="K22" i="5" s="1"/>
  <c r="O22" i="5" s="1"/>
  <c r="S22" i="5" s="1"/>
  <c r="R22" i="5"/>
  <c r="W29" i="5"/>
  <c r="J35" i="5"/>
  <c r="N35" i="5" s="1"/>
  <c r="J43" i="5"/>
  <c r="Q43" i="5"/>
  <c r="I43" i="5"/>
  <c r="H43" i="5"/>
  <c r="L43" i="5" s="1"/>
  <c r="G43" i="5"/>
  <c r="H19" i="5"/>
  <c r="L19" i="5" s="1"/>
  <c r="P20" i="5"/>
  <c r="X29" i="5"/>
  <c r="L35" i="5"/>
  <c r="N37" i="5"/>
  <c r="X41" i="5"/>
  <c r="P41" i="5"/>
  <c r="W41" i="5"/>
  <c r="N41" i="5"/>
  <c r="M41" i="5"/>
  <c r="L41" i="5"/>
  <c r="K41" i="5"/>
  <c r="R41" i="5"/>
  <c r="K48" i="5"/>
  <c r="R48" i="5"/>
  <c r="Y48" i="5"/>
  <c r="X48" i="5"/>
  <c r="P48" i="5"/>
  <c r="W48" i="5"/>
  <c r="N48" i="5"/>
  <c r="J36" i="5"/>
  <c r="N36" i="5" s="1"/>
  <c r="M43" i="5"/>
  <c r="M49" i="5"/>
  <c r="N43" i="5"/>
  <c r="F46" i="5"/>
  <c r="N49" i="5"/>
  <c r="R38" i="5"/>
  <c r="W43" i="5"/>
  <c r="H47" i="5"/>
  <c r="L47" i="5" s="1"/>
  <c r="H48" i="5"/>
  <c r="L48" i="5" s="1"/>
  <c r="W49" i="5"/>
  <c r="K62" i="5"/>
  <c r="I25" i="5"/>
  <c r="M25" i="5" s="1"/>
  <c r="Q25" i="5"/>
  <c r="K28" i="5"/>
  <c r="O28" i="5" s="1"/>
  <c r="S28" i="5" s="1"/>
  <c r="L37" i="5"/>
  <c r="K38" i="5"/>
  <c r="P43" i="5"/>
  <c r="X43" i="5"/>
  <c r="G44" i="5"/>
  <c r="K44" i="5" s="1"/>
  <c r="I47" i="5"/>
  <c r="M47" i="5" s="1"/>
  <c r="Q47" i="5"/>
  <c r="I48" i="5"/>
  <c r="M48" i="5" s="1"/>
  <c r="Q48" i="5"/>
  <c r="P49" i="5"/>
  <c r="X49" i="5"/>
  <c r="G50" i="5"/>
  <c r="K50" i="5" s="1"/>
  <c r="L28" i="5"/>
  <c r="M37" i="5"/>
  <c r="O37" i="5" s="1"/>
  <c r="S37" i="5" s="1"/>
  <c r="L38" i="5"/>
  <c r="G40" i="5"/>
  <c r="K40" i="5" s="1"/>
  <c r="Y43" i="5"/>
  <c r="H44" i="5"/>
  <c r="L44" i="5" s="1"/>
  <c r="G45" i="5"/>
  <c r="K45" i="5" s="1"/>
  <c r="O45" i="5" s="1"/>
  <c r="S45" i="5" s="1"/>
  <c r="Y49" i="5"/>
  <c r="H50" i="5"/>
  <c r="L50" i="5" s="1"/>
  <c r="G51" i="5"/>
  <c r="K51" i="5" s="1"/>
  <c r="M28" i="5"/>
  <c r="F30" i="5"/>
  <c r="E57" i="5" s="1"/>
  <c r="G31" i="5"/>
  <c r="K31" i="5" s="1"/>
  <c r="O31" i="5" s="1"/>
  <c r="S31" i="5" s="1"/>
  <c r="G36" i="5"/>
  <c r="K36" i="5" s="1"/>
  <c r="O36" i="5" s="1"/>
  <c r="S36" i="5" s="1"/>
  <c r="M38" i="5"/>
  <c r="H40" i="5"/>
  <c r="L40" i="5" s="1"/>
  <c r="R43" i="5"/>
  <c r="I44" i="5"/>
  <c r="Q44" i="5"/>
  <c r="H45" i="5"/>
  <c r="L45" i="5" s="1"/>
  <c r="R49" i="5"/>
  <c r="I50" i="5"/>
  <c r="M50" i="5" s="1"/>
  <c r="Q50" i="5"/>
  <c r="H51" i="5"/>
  <c r="L51" i="5" s="1"/>
  <c r="I40" i="5"/>
  <c r="K43" i="5"/>
  <c r="I45" i="5"/>
  <c r="M45" i="5" s="1"/>
  <c r="K49" i="5"/>
  <c r="I51" i="5"/>
  <c r="M51" i="5" s="1"/>
  <c r="T45" i="5" l="1"/>
  <c r="T36" i="5"/>
  <c r="T19" i="5"/>
  <c r="O40" i="5"/>
  <c r="S40" i="5" s="1"/>
  <c r="T28" i="5"/>
  <c r="T22" i="5"/>
  <c r="O51" i="5"/>
  <c r="S51" i="5" s="1"/>
  <c r="T37" i="5"/>
  <c r="O26" i="5"/>
  <c r="S26" i="5" s="1"/>
  <c r="S32" i="5"/>
  <c r="T31" i="5"/>
  <c r="O38" i="5"/>
  <c r="S38" i="5" s="1"/>
  <c r="O48" i="5"/>
  <c r="S48" i="5" s="1"/>
  <c r="O29" i="5"/>
  <c r="S29" i="5" s="1"/>
  <c r="O17" i="5"/>
  <c r="S17" i="5" s="1"/>
  <c r="O25" i="5"/>
  <c r="S25" i="5" s="1"/>
  <c r="O49" i="5"/>
  <c r="S49" i="5" s="1"/>
  <c r="O21" i="5"/>
  <c r="S21" i="5" s="1"/>
  <c r="H59" i="5"/>
  <c r="O47" i="5"/>
  <c r="S47" i="5" s="1"/>
  <c r="O14" i="5"/>
  <c r="O20" i="5"/>
  <c r="S20" i="5" s="1"/>
  <c r="O44" i="5"/>
  <c r="S44" i="5" s="1"/>
  <c r="O41" i="5"/>
  <c r="S41" i="5" s="1"/>
  <c r="O16" i="5"/>
  <c r="S16" i="5" s="1"/>
  <c r="E59" i="5"/>
  <c r="O24" i="5"/>
  <c r="S24" i="5" s="1"/>
  <c r="O43" i="5"/>
  <c r="S43" i="5" s="1"/>
  <c r="O50" i="5"/>
  <c r="S50" i="5" s="1"/>
  <c r="O34" i="5"/>
  <c r="S34" i="5" s="1"/>
  <c r="H60" i="5"/>
  <c r="O35" i="5"/>
  <c r="S35" i="5" s="1"/>
  <c r="O33" i="5"/>
  <c r="S33" i="5" s="1"/>
  <c r="O18" i="5"/>
  <c r="S18" i="5" s="1"/>
  <c r="T29" i="5" l="1"/>
  <c r="T50" i="5"/>
  <c r="S14" i="5"/>
  <c r="E58" i="5"/>
  <c r="E63" i="5" s="1"/>
  <c r="T48" i="5"/>
  <c r="T51" i="5"/>
  <c r="U19" i="5"/>
  <c r="V19" i="5"/>
  <c r="T35" i="5"/>
  <c r="T20" i="5"/>
  <c r="S46" i="5"/>
  <c r="T43" i="5"/>
  <c r="T47" i="5"/>
  <c r="S52" i="5"/>
  <c r="T38" i="5"/>
  <c r="V22" i="5"/>
  <c r="U22" i="5"/>
  <c r="T34" i="5"/>
  <c r="V37" i="5"/>
  <c r="U37" i="5"/>
  <c r="Z37" i="5" s="1"/>
  <c r="AA37" i="5" s="1"/>
  <c r="T24" i="5"/>
  <c r="S27" i="5"/>
  <c r="T18" i="5"/>
  <c r="T21" i="5"/>
  <c r="V31" i="5"/>
  <c r="U31" i="5"/>
  <c r="Z31" i="5" s="1"/>
  <c r="V36" i="5"/>
  <c r="U36" i="5"/>
  <c r="Z36" i="5" s="1"/>
  <c r="AA36" i="5" s="1"/>
  <c r="S39" i="5"/>
  <c r="T33" i="5"/>
  <c r="S23" i="5"/>
  <c r="T16" i="5"/>
  <c r="T49" i="5"/>
  <c r="V28" i="5"/>
  <c r="U28" i="5"/>
  <c r="Z28" i="5" s="1"/>
  <c r="T41" i="5"/>
  <c r="T25" i="5"/>
  <c r="T26" i="5"/>
  <c r="S30" i="5"/>
  <c r="V45" i="5"/>
  <c r="U45" i="5"/>
  <c r="Z45" i="5" s="1"/>
  <c r="AA45" i="5" s="1"/>
  <c r="T44" i="5"/>
  <c r="T17" i="5"/>
  <c r="S42" i="5"/>
  <c r="T40" i="5"/>
  <c r="U29" i="5" l="1"/>
  <c r="V29" i="5"/>
  <c r="U17" i="5"/>
  <c r="V17" i="5"/>
  <c r="V24" i="5"/>
  <c r="U24" i="5"/>
  <c r="Z24" i="5" s="1"/>
  <c r="V48" i="5"/>
  <c r="U48" i="5"/>
  <c r="Z48" i="5" s="1"/>
  <c r="AA48" i="5" s="1"/>
  <c r="V25" i="5"/>
  <c r="U25" i="5"/>
  <c r="Z25" i="5" s="1"/>
  <c r="AA25" i="5" s="1"/>
  <c r="V16" i="5"/>
  <c r="U16" i="5"/>
  <c r="Z16" i="5" s="1"/>
  <c r="V35" i="5"/>
  <c r="U35" i="5"/>
  <c r="Z35" i="5" s="1"/>
  <c r="AA35" i="5" s="1"/>
  <c r="K60" i="5"/>
  <c r="K57" i="5"/>
  <c r="K59" i="5"/>
  <c r="K56" i="5"/>
  <c r="K58" i="5"/>
  <c r="U26" i="5"/>
  <c r="Z26" i="5" s="1"/>
  <c r="AA26" i="5" s="1"/>
  <c r="V26" i="5"/>
  <c r="V20" i="5"/>
  <c r="U20" i="5"/>
  <c r="Z20" i="5" s="1"/>
  <c r="AA20" i="5" s="1"/>
  <c r="Z32" i="5"/>
  <c r="AA31" i="5"/>
  <c r="AA32" i="5" s="1"/>
  <c r="V38" i="5"/>
  <c r="U38" i="5"/>
  <c r="V44" i="5"/>
  <c r="U44" i="5"/>
  <c r="S15" i="5"/>
  <c r="S53" i="5" s="1"/>
  <c r="T14" i="5"/>
  <c r="U33" i="5"/>
  <c r="Z33" i="5" s="1"/>
  <c r="V33" i="5"/>
  <c r="V34" i="5"/>
  <c r="U34" i="5"/>
  <c r="AA28" i="5"/>
  <c r="V43" i="5"/>
  <c r="U43" i="5"/>
  <c r="Z19" i="5"/>
  <c r="AA19" i="5" s="1"/>
  <c r="V50" i="5"/>
  <c r="U50" i="5"/>
  <c r="Z50" i="5" s="1"/>
  <c r="AA50" i="5" s="1"/>
  <c r="V49" i="5"/>
  <c r="U49" i="5"/>
  <c r="Z49" i="5" s="1"/>
  <c r="AA49" i="5" s="1"/>
  <c r="V51" i="5"/>
  <c r="U51" i="5"/>
  <c r="Z51" i="5" s="1"/>
  <c r="AA51" i="5" s="1"/>
  <c r="F65" i="5" s="1"/>
  <c r="V41" i="5"/>
  <c r="U41" i="5"/>
  <c r="Z41" i="5" s="1"/>
  <c r="AA41" i="5" s="1"/>
  <c r="V21" i="5"/>
  <c r="U21" i="5"/>
  <c r="Z21" i="5" s="1"/>
  <c r="AA21" i="5" s="1"/>
  <c r="U47" i="5"/>
  <c r="V47" i="5"/>
  <c r="V40" i="5"/>
  <c r="U40" i="5"/>
  <c r="Z40" i="5" s="1"/>
  <c r="V18" i="5"/>
  <c r="U18" i="5"/>
  <c r="Z18" i="5" s="1"/>
  <c r="AA18" i="5" s="1"/>
  <c r="Z22" i="5"/>
  <c r="AA22" i="5" s="1"/>
  <c r="Z42" i="5" l="1"/>
  <c r="AA40" i="5"/>
  <c r="AA42" i="5" s="1"/>
  <c r="Z27" i="5"/>
  <c r="AA24" i="5"/>
  <c r="AA27" i="5" s="1"/>
  <c r="Z47" i="5"/>
  <c r="Z34" i="5"/>
  <c r="AA34" i="5" s="1"/>
  <c r="Z44" i="5"/>
  <c r="AA44" i="5" s="1"/>
  <c r="Z23" i="5"/>
  <c r="AA16" i="5"/>
  <c r="Z38" i="5"/>
  <c r="AA38" i="5" s="1"/>
  <c r="Z17" i="5"/>
  <c r="AA17" i="5" s="1"/>
  <c r="AA33" i="5"/>
  <c r="AA39" i="5" s="1"/>
  <c r="K63" i="5"/>
  <c r="Z43" i="5"/>
  <c r="V14" i="5"/>
  <c r="H57" i="5" s="1"/>
  <c r="U14" i="5"/>
  <c r="Z29" i="5"/>
  <c r="Z52" i="5" l="1"/>
  <c r="AA47" i="5"/>
  <c r="AA52" i="5" s="1"/>
  <c r="Z39" i="5"/>
  <c r="Z46" i="5"/>
  <c r="AA43" i="5"/>
  <c r="AA46" i="5" s="1"/>
  <c r="AA29" i="5"/>
  <c r="AA30" i="5" s="1"/>
  <c r="Z30" i="5"/>
  <c r="H56" i="5"/>
  <c r="H63" i="5" s="1"/>
  <c r="Z14" i="5"/>
  <c r="AA23" i="5"/>
  <c r="Z15" i="5" l="1"/>
  <c r="Z53" i="5" s="1"/>
  <c r="AA14" i="5"/>
  <c r="AA15" i="5" l="1"/>
  <c r="AA53" i="5"/>
  <c r="AA17" i="4" l="1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F17" i="4"/>
  <c r="D610" i="3"/>
  <c r="B610" i="3"/>
  <c r="D609" i="3"/>
  <c r="B609" i="3"/>
  <c r="D608" i="3"/>
  <c r="B608" i="3"/>
  <c r="D607" i="3"/>
  <c r="B607" i="3"/>
  <c r="D606" i="3"/>
  <c r="B606" i="3"/>
  <c r="B604" i="3"/>
  <c r="D590" i="3"/>
  <c r="B590" i="3"/>
  <c r="D589" i="3"/>
  <c r="B589" i="3"/>
  <c r="D588" i="3"/>
  <c r="B588" i="3"/>
  <c r="D587" i="3"/>
  <c r="B587" i="3"/>
  <c r="D586" i="3"/>
  <c r="B586" i="3"/>
  <c r="B584" i="3"/>
  <c r="D571" i="3"/>
  <c r="B571" i="3"/>
  <c r="D570" i="3"/>
  <c r="B570" i="3"/>
  <c r="D569" i="3"/>
  <c r="B569" i="3"/>
  <c r="D568" i="3"/>
  <c r="B568" i="3"/>
  <c r="D567" i="3"/>
  <c r="B567" i="3"/>
  <c r="B565" i="3"/>
  <c r="D551" i="3"/>
  <c r="B551" i="3"/>
  <c r="D550" i="3"/>
  <c r="B550" i="3"/>
  <c r="D549" i="3"/>
  <c r="B549" i="3"/>
  <c r="D548" i="3"/>
  <c r="B548" i="3"/>
  <c r="D547" i="3"/>
  <c r="B547" i="3"/>
  <c r="B545" i="3"/>
  <c r="D531" i="3"/>
  <c r="B531" i="3"/>
  <c r="D530" i="3"/>
  <c r="B530" i="3"/>
  <c r="D529" i="3"/>
  <c r="B529" i="3"/>
  <c r="D528" i="3"/>
  <c r="B528" i="3"/>
  <c r="D527" i="3"/>
  <c r="B527" i="3"/>
  <c r="B525" i="3"/>
  <c r="D511" i="3"/>
  <c r="B511" i="3"/>
  <c r="D510" i="3"/>
  <c r="B510" i="3"/>
  <c r="D509" i="3"/>
  <c r="B509" i="3"/>
  <c r="D508" i="3"/>
  <c r="B508" i="3"/>
  <c r="D507" i="3"/>
  <c r="B507" i="3"/>
  <c r="B505" i="3"/>
  <c r="D490" i="3"/>
  <c r="B490" i="3"/>
  <c r="D489" i="3"/>
  <c r="B489" i="3"/>
  <c r="D488" i="3"/>
  <c r="B488" i="3"/>
  <c r="D487" i="3"/>
  <c r="B487" i="3"/>
  <c r="D486" i="3"/>
  <c r="B486" i="3"/>
  <c r="B484" i="3"/>
  <c r="D469" i="3"/>
  <c r="B469" i="3"/>
  <c r="D468" i="3"/>
  <c r="B468" i="3"/>
  <c r="D467" i="3"/>
  <c r="B467" i="3"/>
  <c r="D466" i="3"/>
  <c r="B466" i="3"/>
  <c r="D465" i="3"/>
  <c r="B465" i="3"/>
  <c r="B463" i="3"/>
  <c r="D448" i="3"/>
  <c r="B448" i="3"/>
  <c r="D447" i="3"/>
  <c r="B447" i="3"/>
  <c r="D446" i="3"/>
  <c r="B446" i="3"/>
  <c r="D445" i="3"/>
  <c r="B445" i="3"/>
  <c r="D444" i="3"/>
  <c r="B444" i="3"/>
  <c r="B442" i="3"/>
  <c r="D428" i="3"/>
  <c r="B428" i="3"/>
  <c r="D427" i="3"/>
  <c r="B427" i="3"/>
  <c r="D426" i="3"/>
  <c r="B426" i="3"/>
  <c r="D425" i="3"/>
  <c r="B425" i="3"/>
  <c r="D424" i="3"/>
  <c r="B424" i="3"/>
  <c r="B422" i="3"/>
  <c r="D407" i="3"/>
  <c r="B407" i="3"/>
  <c r="D406" i="3"/>
  <c r="B406" i="3"/>
  <c r="D405" i="3"/>
  <c r="B405" i="3"/>
  <c r="D404" i="3"/>
  <c r="B404" i="3"/>
  <c r="D403" i="3"/>
  <c r="B403" i="3"/>
  <c r="B401" i="3"/>
  <c r="D386" i="3"/>
  <c r="B386" i="3"/>
  <c r="D385" i="3"/>
  <c r="B385" i="3"/>
  <c r="D384" i="3"/>
  <c r="B384" i="3"/>
  <c r="D383" i="3"/>
  <c r="B383" i="3"/>
  <c r="D382" i="3"/>
  <c r="B382" i="3"/>
  <c r="B380" i="3"/>
  <c r="D365" i="3"/>
  <c r="B365" i="3"/>
  <c r="D364" i="3"/>
  <c r="B364" i="3"/>
  <c r="D363" i="3"/>
  <c r="B363" i="3"/>
  <c r="D362" i="3"/>
  <c r="B362" i="3"/>
  <c r="D361" i="3"/>
  <c r="B361" i="3"/>
  <c r="B359" i="3"/>
  <c r="D345" i="3"/>
  <c r="B345" i="3"/>
  <c r="D344" i="3"/>
  <c r="B344" i="3"/>
  <c r="D343" i="3"/>
  <c r="B343" i="3"/>
  <c r="D342" i="3"/>
  <c r="B342" i="3"/>
  <c r="D341" i="3"/>
  <c r="B341" i="3"/>
  <c r="B339" i="3"/>
  <c r="D325" i="3"/>
  <c r="B325" i="3"/>
  <c r="D324" i="3"/>
  <c r="B324" i="3"/>
  <c r="D323" i="3"/>
  <c r="B323" i="3"/>
  <c r="D322" i="3"/>
  <c r="B322" i="3"/>
  <c r="D321" i="3"/>
  <c r="B321" i="3"/>
  <c r="B319" i="3"/>
  <c r="D303" i="3"/>
  <c r="B303" i="3"/>
  <c r="D302" i="3"/>
  <c r="B302" i="3"/>
  <c r="D301" i="3"/>
  <c r="B301" i="3"/>
  <c r="D300" i="3"/>
  <c r="B300" i="3"/>
  <c r="D299" i="3"/>
  <c r="B299" i="3"/>
  <c r="B297" i="3"/>
  <c r="D282" i="3"/>
  <c r="B282" i="3"/>
  <c r="D281" i="3"/>
  <c r="B281" i="3"/>
  <c r="D280" i="3"/>
  <c r="B280" i="3"/>
  <c r="D279" i="3"/>
  <c r="B279" i="3"/>
  <c r="D278" i="3"/>
  <c r="B278" i="3"/>
  <c r="B276" i="3"/>
  <c r="D262" i="3"/>
  <c r="B262" i="3"/>
  <c r="D261" i="3"/>
  <c r="B261" i="3"/>
  <c r="D260" i="3"/>
  <c r="B260" i="3"/>
  <c r="D259" i="3"/>
  <c r="B259" i="3"/>
  <c r="D258" i="3"/>
  <c r="B258" i="3"/>
  <c r="B256" i="3"/>
  <c r="D242" i="3"/>
  <c r="B242" i="3"/>
  <c r="D241" i="3"/>
  <c r="B241" i="3"/>
  <c r="D240" i="3"/>
  <c r="B240" i="3"/>
  <c r="D239" i="3"/>
  <c r="B239" i="3"/>
  <c r="D238" i="3"/>
  <c r="B238" i="3"/>
  <c r="B236" i="3"/>
  <c r="D221" i="3"/>
  <c r="B221" i="3"/>
  <c r="D220" i="3"/>
  <c r="B220" i="3"/>
  <c r="D219" i="3"/>
  <c r="B219" i="3"/>
  <c r="D218" i="3"/>
  <c r="B218" i="3"/>
  <c r="D217" i="3"/>
  <c r="B217" i="3"/>
  <c r="B215" i="3"/>
  <c r="D199" i="3"/>
  <c r="B199" i="3"/>
  <c r="D198" i="3"/>
  <c r="B198" i="3"/>
  <c r="D197" i="3"/>
  <c r="B197" i="3"/>
  <c r="D196" i="3"/>
  <c r="B196" i="3"/>
  <c r="D195" i="3"/>
  <c r="B195" i="3"/>
  <c r="B193" i="3"/>
  <c r="D178" i="3"/>
  <c r="B178" i="3"/>
  <c r="D177" i="3"/>
  <c r="B177" i="3"/>
  <c r="D176" i="3"/>
  <c r="B176" i="3"/>
  <c r="D175" i="3"/>
  <c r="B175" i="3"/>
  <c r="D174" i="3"/>
  <c r="B174" i="3"/>
  <c r="B172" i="3"/>
  <c r="D157" i="3"/>
  <c r="B157" i="3"/>
  <c r="D156" i="3"/>
  <c r="B156" i="3"/>
  <c r="D155" i="3"/>
  <c r="B155" i="3"/>
  <c r="D154" i="3"/>
  <c r="B154" i="3"/>
  <c r="D153" i="3"/>
  <c r="B153" i="3"/>
  <c r="B151" i="3"/>
  <c r="D136" i="3"/>
  <c r="B136" i="3"/>
  <c r="D135" i="3"/>
  <c r="B135" i="3"/>
  <c r="D134" i="3"/>
  <c r="B134" i="3"/>
  <c r="D133" i="3"/>
  <c r="B133" i="3"/>
  <c r="D132" i="3"/>
  <c r="B132" i="3"/>
  <c r="B130" i="3"/>
  <c r="D116" i="3"/>
  <c r="B116" i="3"/>
  <c r="D115" i="3"/>
  <c r="B115" i="3"/>
  <c r="D114" i="3"/>
  <c r="B114" i="3"/>
  <c r="D113" i="3"/>
  <c r="B113" i="3"/>
  <c r="D112" i="3"/>
  <c r="B112" i="3"/>
  <c r="B110" i="3"/>
  <c r="D95" i="3"/>
  <c r="B95" i="3"/>
  <c r="D94" i="3"/>
  <c r="B94" i="3"/>
  <c r="D93" i="3"/>
  <c r="B93" i="3"/>
  <c r="D92" i="3"/>
  <c r="B92" i="3"/>
  <c r="D91" i="3"/>
  <c r="B91" i="3"/>
  <c r="B89" i="3"/>
  <c r="D75" i="3"/>
  <c r="B75" i="3"/>
  <c r="D74" i="3"/>
  <c r="B74" i="3"/>
  <c r="D73" i="3"/>
  <c r="B73" i="3"/>
  <c r="D72" i="3"/>
  <c r="B72" i="3"/>
  <c r="D71" i="3"/>
  <c r="B71" i="3"/>
  <c r="B69" i="3"/>
  <c r="D56" i="3"/>
  <c r="B56" i="3"/>
  <c r="D55" i="3"/>
  <c r="B55" i="3"/>
  <c r="D54" i="3"/>
  <c r="B54" i="3"/>
  <c r="D53" i="3"/>
  <c r="B53" i="3"/>
  <c r="D52" i="3"/>
  <c r="B52" i="3"/>
  <c r="B50" i="3"/>
  <c r="D35" i="3"/>
  <c r="B35" i="3"/>
  <c r="D34" i="3"/>
  <c r="B34" i="3"/>
  <c r="D33" i="3"/>
  <c r="B33" i="3"/>
  <c r="D32" i="3"/>
  <c r="B32" i="3"/>
  <c r="D31" i="3"/>
  <c r="B31" i="3"/>
  <c r="B29" i="3"/>
  <c r="D13" i="3"/>
  <c r="B13" i="3"/>
  <c r="D12" i="3"/>
  <c r="B12" i="3"/>
  <c r="D11" i="3"/>
  <c r="B11" i="3"/>
  <c r="D10" i="3"/>
  <c r="B10" i="3"/>
  <c r="D9" i="3"/>
  <c r="B9" i="3"/>
  <c r="B7" i="3"/>
  <c r="F43" i="2"/>
  <c r="P43" i="2" s="1"/>
  <c r="E43" i="2"/>
  <c r="C43" i="2"/>
  <c r="Q43" i="2" s="1"/>
  <c r="B43" i="2"/>
  <c r="E42" i="2"/>
  <c r="F42" i="2" s="1"/>
  <c r="C42" i="2"/>
  <c r="H42" i="2" s="1"/>
  <c r="B42" i="2"/>
  <c r="E41" i="2"/>
  <c r="F41" i="2" s="1"/>
  <c r="C41" i="2"/>
  <c r="Q41" i="2" s="1"/>
  <c r="B41" i="2"/>
  <c r="E40" i="2"/>
  <c r="F40" i="2" s="1"/>
  <c r="R40" i="2" s="1"/>
  <c r="C40" i="2"/>
  <c r="J40" i="2" s="1"/>
  <c r="B40" i="2"/>
  <c r="E39" i="2"/>
  <c r="F39" i="2" s="1"/>
  <c r="C39" i="2"/>
  <c r="J39" i="2" s="1"/>
  <c r="B39" i="2"/>
  <c r="E38" i="2"/>
  <c r="F38" i="2" s="1"/>
  <c r="C38" i="2"/>
  <c r="J38" i="2" s="1"/>
  <c r="B38" i="2"/>
  <c r="E37" i="2"/>
  <c r="F37" i="2" s="1"/>
  <c r="C37" i="2"/>
  <c r="J37" i="2" s="1"/>
  <c r="B37" i="2"/>
  <c r="E36" i="2"/>
  <c r="F36" i="2" s="1"/>
  <c r="C36" i="2"/>
  <c r="B36" i="2"/>
  <c r="E35" i="2"/>
  <c r="F35" i="2" s="1"/>
  <c r="C35" i="2"/>
  <c r="G35" i="2" s="1"/>
  <c r="B35" i="2"/>
  <c r="E34" i="2"/>
  <c r="F34" i="2" s="1"/>
  <c r="C34" i="2"/>
  <c r="H34" i="2" s="1"/>
  <c r="B34" i="2"/>
  <c r="E33" i="2"/>
  <c r="F33" i="2" s="1"/>
  <c r="C33" i="2"/>
  <c r="Q33" i="2" s="1"/>
  <c r="B33" i="2"/>
  <c r="E32" i="2"/>
  <c r="F32" i="2" s="1"/>
  <c r="R32" i="2" s="1"/>
  <c r="C32" i="2"/>
  <c r="J32" i="2" s="1"/>
  <c r="B32" i="2"/>
  <c r="E31" i="2"/>
  <c r="F31" i="2" s="1"/>
  <c r="Y31" i="2" s="1"/>
  <c r="C31" i="2"/>
  <c r="B31" i="2"/>
  <c r="E30" i="2"/>
  <c r="F30" i="2" s="1"/>
  <c r="R30" i="2" s="1"/>
  <c r="C30" i="2"/>
  <c r="Q30" i="2" s="1"/>
  <c r="B30" i="2"/>
  <c r="E29" i="2"/>
  <c r="F29" i="2" s="1"/>
  <c r="C29" i="2"/>
  <c r="Q29" i="2" s="1"/>
  <c r="B29" i="2"/>
  <c r="E28" i="2"/>
  <c r="F28" i="2" s="1"/>
  <c r="W28" i="2" s="1"/>
  <c r="C28" i="2"/>
  <c r="J28" i="2" s="1"/>
  <c r="B28" i="2"/>
  <c r="E27" i="2"/>
  <c r="F27" i="2" s="1"/>
  <c r="P27" i="2" s="1"/>
  <c r="C27" i="2"/>
  <c r="G27" i="2" s="1"/>
  <c r="B27" i="2"/>
  <c r="I26" i="2"/>
  <c r="E26" i="2"/>
  <c r="F26" i="2" s="1"/>
  <c r="Y26" i="2" s="1"/>
  <c r="C26" i="2"/>
  <c r="Q26" i="2" s="1"/>
  <c r="B26" i="2"/>
  <c r="E25" i="2"/>
  <c r="F25" i="2" s="1"/>
  <c r="R25" i="2" s="1"/>
  <c r="C25" i="2"/>
  <c r="J25" i="2" s="1"/>
  <c r="B25" i="2"/>
  <c r="E24" i="2"/>
  <c r="F24" i="2" s="1"/>
  <c r="X24" i="2" s="1"/>
  <c r="C24" i="2"/>
  <c r="J24" i="2" s="1"/>
  <c r="B24" i="2"/>
  <c r="E23" i="2"/>
  <c r="F23" i="2" s="1"/>
  <c r="Y23" i="2" s="1"/>
  <c r="C23" i="2"/>
  <c r="B23" i="2"/>
  <c r="E22" i="2"/>
  <c r="F22" i="2" s="1"/>
  <c r="C22" i="2"/>
  <c r="G22" i="2" s="1"/>
  <c r="B22" i="2"/>
  <c r="E21" i="2"/>
  <c r="F21" i="2" s="1"/>
  <c r="C21" i="2"/>
  <c r="J21" i="2" s="1"/>
  <c r="B21" i="2"/>
  <c r="E20" i="2"/>
  <c r="F20" i="2" s="1"/>
  <c r="Y20" i="2" s="1"/>
  <c r="C20" i="2"/>
  <c r="J20" i="2" s="1"/>
  <c r="B20" i="2"/>
  <c r="E19" i="2"/>
  <c r="F19" i="2" s="1"/>
  <c r="P19" i="2" s="1"/>
  <c r="C19" i="2"/>
  <c r="G19" i="2" s="1"/>
  <c r="B19" i="2"/>
  <c r="E18" i="2"/>
  <c r="F18" i="2" s="1"/>
  <c r="C18" i="2"/>
  <c r="J18" i="2" s="1"/>
  <c r="B18" i="2"/>
  <c r="E17" i="2"/>
  <c r="F17" i="2" s="1"/>
  <c r="C17" i="2"/>
  <c r="G17" i="2" s="1"/>
  <c r="B17" i="2"/>
  <c r="E16" i="2"/>
  <c r="F16" i="2" s="1"/>
  <c r="X16" i="2" s="1"/>
  <c r="C16" i="2"/>
  <c r="G16" i="2" s="1"/>
  <c r="B16" i="2"/>
  <c r="E15" i="2"/>
  <c r="F15" i="2" s="1"/>
  <c r="C15" i="2"/>
  <c r="J15" i="2" s="1"/>
  <c r="B15" i="2"/>
  <c r="E14" i="2"/>
  <c r="F14" i="2" s="1"/>
  <c r="X14" i="2" s="1"/>
  <c r="C14" i="2"/>
  <c r="J14" i="2" s="1"/>
  <c r="B14" i="2"/>
  <c r="E13" i="2"/>
  <c r="F13" i="2" s="1"/>
  <c r="C13" i="2"/>
  <c r="Q13" i="2" s="1"/>
  <c r="B13" i="2"/>
  <c r="R8" i="2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I19" i="2" l="1"/>
  <c r="H24" i="2"/>
  <c r="H35" i="2"/>
  <c r="I20" i="2"/>
  <c r="G37" i="2"/>
  <c r="J33" i="2"/>
  <c r="N33" i="2" s="1"/>
  <c r="H20" i="2"/>
  <c r="H22" i="2"/>
  <c r="G29" i="2"/>
  <c r="K29" i="2" s="1"/>
  <c r="I29" i="2"/>
  <c r="H38" i="2"/>
  <c r="J29" i="2"/>
  <c r="R28" i="2"/>
  <c r="W33" i="2"/>
  <c r="B15" i="3"/>
  <c r="D77" i="3"/>
  <c r="D118" i="3"/>
  <c r="D121" i="3" s="1"/>
  <c r="B138" i="3"/>
  <c r="B180" i="3"/>
  <c r="D244" i="3"/>
  <c r="B305" i="3"/>
  <c r="D308" i="3" s="1"/>
  <c r="B471" i="3"/>
  <c r="D573" i="3"/>
  <c r="B533" i="3"/>
  <c r="D15" i="3"/>
  <c r="D18" i="3" s="1"/>
  <c r="B201" i="3"/>
  <c r="J17" i="2"/>
  <c r="N17" i="2" s="1"/>
  <c r="R19" i="2"/>
  <c r="I30" i="2"/>
  <c r="H32" i="2"/>
  <c r="L32" i="2" s="1"/>
  <c r="I14" i="2"/>
  <c r="B367" i="3"/>
  <c r="D513" i="3"/>
  <c r="M19" i="2"/>
  <c r="J13" i="2"/>
  <c r="N13" i="2" s="1"/>
  <c r="H27" i="2"/>
  <c r="L27" i="2" s="1"/>
  <c r="D180" i="3"/>
  <c r="D347" i="3"/>
  <c r="J27" i="2"/>
  <c r="D58" i="3"/>
  <c r="D97" i="3"/>
  <c r="B118" i="3"/>
  <c r="D223" i="3"/>
  <c r="D264" i="3"/>
  <c r="B284" i="3"/>
  <c r="D388" i="3"/>
  <c r="D430" i="3"/>
  <c r="B450" i="3"/>
  <c r="D553" i="3"/>
  <c r="D592" i="3"/>
  <c r="B612" i="3"/>
  <c r="N29" i="2"/>
  <c r="Y21" i="2"/>
  <c r="X21" i="2"/>
  <c r="N21" i="2"/>
  <c r="R21" i="2"/>
  <c r="D409" i="3"/>
  <c r="J19" i="2"/>
  <c r="N19" i="2" s="1"/>
  <c r="Q21" i="2"/>
  <c r="I22" i="2"/>
  <c r="H37" i="2"/>
  <c r="D138" i="3"/>
  <c r="D141" i="3" s="1"/>
  <c r="D305" i="3"/>
  <c r="D471" i="3"/>
  <c r="M14" i="2"/>
  <c r="J22" i="2"/>
  <c r="N22" i="2" s="1"/>
  <c r="P32" i="2"/>
  <c r="I37" i="2"/>
  <c r="M37" i="2" s="1"/>
  <c r="B264" i="3"/>
  <c r="D367" i="3"/>
  <c r="B430" i="3"/>
  <c r="D433" i="3" s="1"/>
  <c r="D533" i="3"/>
  <c r="B592" i="3"/>
  <c r="D595" i="3" s="1"/>
  <c r="P14" i="2"/>
  <c r="K19" i="2"/>
  <c r="N24" i="2"/>
  <c r="G20" i="2"/>
  <c r="K20" i="2" s="1"/>
  <c r="G21" i="2"/>
  <c r="K21" i="2" s="1"/>
  <c r="Q22" i="2"/>
  <c r="G25" i="2"/>
  <c r="K25" i="2" s="1"/>
  <c r="K27" i="2"/>
  <c r="G28" i="2"/>
  <c r="K28" i="2" s="1"/>
  <c r="H29" i="2"/>
  <c r="G30" i="2"/>
  <c r="X32" i="2"/>
  <c r="Q37" i="2"/>
  <c r="H43" i="2"/>
  <c r="B37" i="3"/>
  <c r="B159" i="3"/>
  <c r="B327" i="3"/>
  <c r="B492" i="3"/>
  <c r="H30" i="2"/>
  <c r="J43" i="2"/>
  <c r="D37" i="3"/>
  <c r="B58" i="3"/>
  <c r="D61" i="3" s="1"/>
  <c r="B97" i="3"/>
  <c r="D100" i="3" s="1"/>
  <c r="D159" i="3"/>
  <c r="D201" i="3"/>
  <c r="D204" i="3" s="1"/>
  <c r="B223" i="3"/>
  <c r="D327" i="3"/>
  <c r="B388" i="3"/>
  <c r="D492" i="3"/>
  <c r="B553" i="3"/>
  <c r="H21" i="2"/>
  <c r="L21" i="2" s="1"/>
  <c r="I21" i="2"/>
  <c r="X19" i="2"/>
  <c r="Q20" i="2"/>
  <c r="P24" i="2"/>
  <c r="D284" i="3"/>
  <c r="D287" i="3" s="1"/>
  <c r="B347" i="3"/>
  <c r="D350" i="3" s="1"/>
  <c r="D450" i="3"/>
  <c r="B513" i="3"/>
  <c r="D612" i="3"/>
  <c r="J30" i="2"/>
  <c r="K16" i="2"/>
  <c r="H19" i="2"/>
  <c r="L19" i="2" s="1"/>
  <c r="Y19" i="2"/>
  <c r="G33" i="2"/>
  <c r="K33" i="2" s="1"/>
  <c r="G38" i="2"/>
  <c r="K38" i="2" s="1"/>
  <c r="B77" i="3"/>
  <c r="B244" i="3"/>
  <c r="D247" i="3" s="1"/>
  <c r="B409" i="3"/>
  <c r="B573" i="3"/>
  <c r="D576" i="3" s="1"/>
  <c r="D267" i="3"/>
  <c r="L22" i="2"/>
  <c r="K22" i="2"/>
  <c r="Y22" i="2"/>
  <c r="P22" i="2"/>
  <c r="X22" i="2"/>
  <c r="W22" i="2"/>
  <c r="M22" i="2"/>
  <c r="R22" i="2"/>
  <c r="E47" i="2"/>
  <c r="K45" i="2"/>
  <c r="Y13" i="2"/>
  <c r="X13" i="2"/>
  <c r="P13" i="2"/>
  <c r="W13" i="2"/>
  <c r="R13" i="2"/>
  <c r="X18" i="2"/>
  <c r="P18" i="2"/>
  <c r="W18" i="2"/>
  <c r="N18" i="2"/>
  <c r="Y18" i="2"/>
  <c r="R18" i="2"/>
  <c r="R15" i="2"/>
  <c r="P15" i="2"/>
  <c r="Y15" i="2"/>
  <c r="W15" i="2"/>
  <c r="N15" i="2"/>
  <c r="X15" i="2"/>
  <c r="W14" i="2"/>
  <c r="G15" i="2"/>
  <c r="K15" i="2" s="1"/>
  <c r="Q15" i="2"/>
  <c r="J23" i="2"/>
  <c r="N23" i="2" s="1"/>
  <c r="H23" i="2"/>
  <c r="L23" i="2" s="1"/>
  <c r="W25" i="2"/>
  <c r="N14" i="2"/>
  <c r="H15" i="2"/>
  <c r="L15" i="2" s="1"/>
  <c r="I18" i="2"/>
  <c r="M18" i="2" s="1"/>
  <c r="Q23" i="2"/>
  <c r="Y29" i="2"/>
  <c r="Y33" i="2"/>
  <c r="X33" i="2"/>
  <c r="P33" i="2"/>
  <c r="R33" i="2"/>
  <c r="X34" i="2"/>
  <c r="P34" i="2"/>
  <c r="W34" i="2"/>
  <c r="L34" i="2"/>
  <c r="R34" i="2"/>
  <c r="Y34" i="2"/>
  <c r="L38" i="2"/>
  <c r="R38" i="2"/>
  <c r="Y38" i="2"/>
  <c r="X38" i="2"/>
  <c r="P38" i="2"/>
  <c r="W38" i="2"/>
  <c r="N38" i="2"/>
  <c r="X42" i="2"/>
  <c r="P42" i="2"/>
  <c r="W42" i="2"/>
  <c r="L42" i="2"/>
  <c r="R42" i="2"/>
  <c r="Y42" i="2"/>
  <c r="J31" i="2"/>
  <c r="H31" i="2"/>
  <c r="L31" i="2" s="1"/>
  <c r="G31" i="2"/>
  <c r="G13" i="2"/>
  <c r="K13" i="2" s="1"/>
  <c r="Y14" i="2"/>
  <c r="I15" i="2"/>
  <c r="M15" i="2" s="1"/>
  <c r="R16" i="2"/>
  <c r="Y16" i="2"/>
  <c r="P16" i="2"/>
  <c r="W17" i="2"/>
  <c r="W19" i="2"/>
  <c r="Q19" i="2"/>
  <c r="W20" i="2"/>
  <c r="M21" i="2"/>
  <c r="P21" i="2"/>
  <c r="R23" i="2"/>
  <c r="X23" i="2"/>
  <c r="P23" i="2"/>
  <c r="R24" i="2"/>
  <c r="Y24" i="2"/>
  <c r="W24" i="2"/>
  <c r="L24" i="2"/>
  <c r="Q28" i="2"/>
  <c r="I28" i="2"/>
  <c r="M28" i="2" s="1"/>
  <c r="H28" i="2"/>
  <c r="L28" i="2" s="1"/>
  <c r="M30" i="2"/>
  <c r="K17" i="2"/>
  <c r="H13" i="2"/>
  <c r="L13" i="2" s="1"/>
  <c r="G14" i="2"/>
  <c r="K14" i="2" s="1"/>
  <c r="L20" i="2"/>
  <c r="X20" i="2"/>
  <c r="G23" i="2"/>
  <c r="K23" i="2" s="1"/>
  <c r="H26" i="2"/>
  <c r="L26" i="2" s="1"/>
  <c r="G26" i="2"/>
  <c r="K26" i="2" s="1"/>
  <c r="J26" i="2"/>
  <c r="N26" i="2" s="1"/>
  <c r="N28" i="2"/>
  <c r="Y28" i="2"/>
  <c r="X28" i="2"/>
  <c r="P28" i="2"/>
  <c r="I31" i="2"/>
  <c r="M31" i="2" s="1"/>
  <c r="J36" i="2"/>
  <c r="N36" i="2" s="1"/>
  <c r="Q36" i="2"/>
  <c r="I36" i="2"/>
  <c r="M36" i="2" s="1"/>
  <c r="H36" i="2"/>
  <c r="L36" i="2" s="1"/>
  <c r="G36" i="2"/>
  <c r="K36" i="2" s="1"/>
  <c r="J16" i="2"/>
  <c r="N16" i="2" s="1"/>
  <c r="Q16" i="2"/>
  <c r="I16" i="2"/>
  <c r="M16" i="2" s="1"/>
  <c r="Q17" i="2"/>
  <c r="I17" i="2"/>
  <c r="M17" i="2" s="1"/>
  <c r="H17" i="2"/>
  <c r="L17" i="2" s="1"/>
  <c r="I13" i="2"/>
  <c r="M13" i="2" s="1"/>
  <c r="H14" i="2"/>
  <c r="L14" i="2" s="1"/>
  <c r="Q14" i="2"/>
  <c r="H16" i="2"/>
  <c r="L16" i="2" s="1"/>
  <c r="I23" i="2"/>
  <c r="M23" i="2" s="1"/>
  <c r="R36" i="2"/>
  <c r="Y36" i="2"/>
  <c r="X36" i="2"/>
  <c r="P36" i="2"/>
  <c r="W36" i="2"/>
  <c r="N20" i="2"/>
  <c r="M20" i="2"/>
  <c r="P20" i="2"/>
  <c r="W23" i="2"/>
  <c r="X26" i="2"/>
  <c r="P26" i="2"/>
  <c r="W26" i="2"/>
  <c r="M26" i="2"/>
  <c r="R26" i="2"/>
  <c r="L30" i="2"/>
  <c r="K30" i="2"/>
  <c r="Y30" i="2"/>
  <c r="X30" i="2"/>
  <c r="P30" i="2"/>
  <c r="W30" i="2"/>
  <c r="N30" i="2"/>
  <c r="Q31" i="2"/>
  <c r="Y17" i="2"/>
  <c r="X17" i="2"/>
  <c r="P17" i="2"/>
  <c r="R17" i="2"/>
  <c r="H18" i="2"/>
  <c r="L18" i="2" s="1"/>
  <c r="G18" i="2"/>
  <c r="K18" i="2" s="1"/>
  <c r="Q25" i="2"/>
  <c r="I25" i="2"/>
  <c r="M25" i="2" s="1"/>
  <c r="H25" i="2"/>
  <c r="L25" i="2" s="1"/>
  <c r="W35" i="2"/>
  <c r="L35" i="2"/>
  <c r="K35" i="2"/>
  <c r="R35" i="2"/>
  <c r="Y35" i="2"/>
  <c r="X35" i="2"/>
  <c r="P35" i="2"/>
  <c r="Y41" i="2"/>
  <c r="X41" i="2"/>
  <c r="P41" i="2"/>
  <c r="W41" i="2"/>
  <c r="R41" i="2"/>
  <c r="W39" i="2"/>
  <c r="W31" i="2"/>
  <c r="W16" i="2"/>
  <c r="Q18" i="2"/>
  <c r="R20" i="2"/>
  <c r="W21" i="2"/>
  <c r="Y25" i="2"/>
  <c r="X25" i="2"/>
  <c r="P25" i="2"/>
  <c r="N25" i="2"/>
  <c r="K52" i="2"/>
  <c r="K51" i="2"/>
  <c r="W27" i="2"/>
  <c r="N27" i="2"/>
  <c r="R27" i="2"/>
  <c r="Y27" i="2"/>
  <c r="X27" i="2"/>
  <c r="M29" i="2"/>
  <c r="L29" i="2"/>
  <c r="R29" i="2"/>
  <c r="X29" i="2"/>
  <c r="P29" i="2"/>
  <c r="W29" i="2"/>
  <c r="I34" i="2"/>
  <c r="M34" i="2" s="1"/>
  <c r="Q34" i="2"/>
  <c r="N37" i="2"/>
  <c r="J41" i="2"/>
  <c r="N41" i="2" s="1"/>
  <c r="I42" i="2"/>
  <c r="M42" i="2" s="1"/>
  <c r="Q42" i="2"/>
  <c r="I27" i="2"/>
  <c r="M27" i="2" s="1"/>
  <c r="Q27" i="2"/>
  <c r="J34" i="2"/>
  <c r="N34" i="2" s="1"/>
  <c r="I35" i="2"/>
  <c r="M35" i="2" s="1"/>
  <c r="Q35" i="2"/>
  <c r="W37" i="2"/>
  <c r="J42" i="2"/>
  <c r="N42" i="2" s="1"/>
  <c r="I43" i="2"/>
  <c r="N31" i="2"/>
  <c r="J35" i="2"/>
  <c r="N35" i="2" s="1"/>
  <c r="P37" i="2"/>
  <c r="X37" i="2"/>
  <c r="N39" i="2"/>
  <c r="N32" i="2"/>
  <c r="Y37" i="2"/>
  <c r="G39" i="2"/>
  <c r="K39" i="2" s="1"/>
  <c r="N40" i="2"/>
  <c r="K43" i="2"/>
  <c r="G24" i="2"/>
  <c r="K24" i="2" s="1"/>
  <c r="P31" i="2"/>
  <c r="X31" i="2"/>
  <c r="G32" i="2"/>
  <c r="K32" i="2" s="1"/>
  <c r="W32" i="2"/>
  <c r="R37" i="2"/>
  <c r="I38" i="2"/>
  <c r="M38" i="2" s="1"/>
  <c r="Q38" i="2"/>
  <c r="H39" i="2"/>
  <c r="L39" i="2" s="1"/>
  <c r="P39" i="2"/>
  <c r="X39" i="2"/>
  <c r="G40" i="2"/>
  <c r="K40" i="2" s="1"/>
  <c r="W40" i="2"/>
  <c r="L43" i="2"/>
  <c r="K37" i="2"/>
  <c r="I39" i="2"/>
  <c r="M39" i="2" s="1"/>
  <c r="Q39" i="2"/>
  <c r="Y39" i="2"/>
  <c r="H40" i="2"/>
  <c r="L40" i="2" s="1"/>
  <c r="P40" i="2"/>
  <c r="X40" i="2"/>
  <c r="G41" i="2"/>
  <c r="K41" i="2" s="1"/>
  <c r="N43" i="2"/>
  <c r="I24" i="2"/>
  <c r="M24" i="2" s="1"/>
  <c r="Q24" i="2"/>
  <c r="R31" i="2"/>
  <c r="I32" i="2"/>
  <c r="M32" i="2" s="1"/>
  <c r="Q32" i="2"/>
  <c r="Y32" i="2"/>
  <c r="H33" i="2"/>
  <c r="L33" i="2" s="1"/>
  <c r="G34" i="2"/>
  <c r="K34" i="2" s="1"/>
  <c r="L37" i="2"/>
  <c r="R39" i="2"/>
  <c r="I40" i="2"/>
  <c r="M40" i="2" s="1"/>
  <c r="Q40" i="2"/>
  <c r="Y40" i="2"/>
  <c r="H41" i="2"/>
  <c r="L41" i="2" s="1"/>
  <c r="G42" i="2"/>
  <c r="K42" i="2" s="1"/>
  <c r="K31" i="2"/>
  <c r="I33" i="2"/>
  <c r="M33" i="2" s="1"/>
  <c r="I41" i="2"/>
  <c r="M41" i="2" s="1"/>
  <c r="G43" i="2"/>
  <c r="D474" i="3" l="1"/>
  <c r="D391" i="3"/>
  <c r="D330" i="3"/>
  <c r="D516" i="3"/>
  <c r="O29" i="2"/>
  <c r="S29" i="2" s="1"/>
  <c r="D556" i="3"/>
  <c r="D370" i="3"/>
  <c r="D495" i="3"/>
  <c r="D80" i="3"/>
  <c r="D615" i="3"/>
  <c r="D226" i="3"/>
  <c r="D183" i="3"/>
  <c r="D453" i="3"/>
  <c r="D536" i="3"/>
  <c r="D40" i="3"/>
  <c r="O40" i="2"/>
  <c r="S40" i="2" s="1"/>
  <c r="T40" i="2" s="1"/>
  <c r="D412" i="3"/>
  <c r="O19" i="2"/>
  <c r="S19" i="2" s="1"/>
  <c r="T19" i="2" s="1"/>
  <c r="O27" i="2"/>
  <c r="S27" i="2" s="1"/>
  <c r="O15" i="2"/>
  <c r="S15" i="2" s="1"/>
  <c r="T15" i="2" s="1"/>
  <c r="D162" i="3"/>
  <c r="O32" i="2"/>
  <c r="S32" i="2" s="1"/>
  <c r="T32" i="2" s="1"/>
  <c r="O16" i="2"/>
  <c r="S16" i="2" s="1"/>
  <c r="T16" i="2" s="1"/>
  <c r="E50" i="2"/>
  <c r="O23" i="2"/>
  <c r="S23" i="2" s="1"/>
  <c r="T23" i="2" s="1"/>
  <c r="O36" i="2"/>
  <c r="S36" i="2" s="1"/>
  <c r="T36" i="2" s="1"/>
  <c r="O21" i="2"/>
  <c r="S21" i="2" s="1"/>
  <c r="T21" i="2" s="1"/>
  <c r="T27" i="2"/>
  <c r="T29" i="2"/>
  <c r="O34" i="2"/>
  <c r="S34" i="2" s="1"/>
  <c r="O42" i="2"/>
  <c r="S42" i="2" s="1"/>
  <c r="O41" i="2"/>
  <c r="S41" i="2" s="1"/>
  <c r="O39" i="2"/>
  <c r="S39" i="2" s="1"/>
  <c r="O18" i="2"/>
  <c r="S18" i="2" s="1"/>
  <c r="O13" i="2"/>
  <c r="H50" i="2"/>
  <c r="O30" i="2"/>
  <c r="S30" i="2" s="1"/>
  <c r="O17" i="2"/>
  <c r="S17" i="2" s="1"/>
  <c r="H52" i="2"/>
  <c r="O33" i="2"/>
  <c r="S33" i="2" s="1"/>
  <c r="O22" i="2"/>
  <c r="S22" i="2" s="1"/>
  <c r="O35" i="2"/>
  <c r="S35" i="2" s="1"/>
  <c r="O28" i="2"/>
  <c r="S28" i="2" s="1"/>
  <c r="E52" i="2"/>
  <c r="O24" i="2"/>
  <c r="S24" i="2" s="1"/>
  <c r="O26" i="2"/>
  <c r="S26" i="2" s="1"/>
  <c r="O20" i="2"/>
  <c r="S20" i="2" s="1"/>
  <c r="H49" i="2"/>
  <c r="O31" i="2"/>
  <c r="S31" i="2" s="1"/>
  <c r="O14" i="2"/>
  <c r="S14" i="2" s="1"/>
  <c r="O38" i="2"/>
  <c r="S38" i="2" s="1"/>
  <c r="O25" i="2"/>
  <c r="S25" i="2" s="1"/>
  <c r="O37" i="2"/>
  <c r="S37" i="2" s="1"/>
  <c r="E49" i="2"/>
  <c r="T14" i="2" l="1"/>
  <c r="V15" i="2"/>
  <c r="U15" i="2"/>
  <c r="Z15" i="2" s="1"/>
  <c r="AA15" i="2" s="1"/>
  <c r="V32" i="2"/>
  <c r="U32" i="2"/>
  <c r="V19" i="2"/>
  <c r="U19" i="2"/>
  <c r="Z19" i="2" s="1"/>
  <c r="AA19" i="2" s="1"/>
  <c r="U21" i="2"/>
  <c r="V21" i="2"/>
  <c r="T20" i="2"/>
  <c r="T22" i="2"/>
  <c r="E48" i="2"/>
  <c r="E53" i="2" s="1"/>
  <c r="S13" i="2"/>
  <c r="V23" i="2"/>
  <c r="U23" i="2"/>
  <c r="Z23" i="2" s="1"/>
  <c r="AA23" i="2" s="1"/>
  <c r="V36" i="2"/>
  <c r="U36" i="2"/>
  <c r="T26" i="2"/>
  <c r="T18" i="2"/>
  <c r="V40" i="2"/>
  <c r="U40" i="2"/>
  <c r="T30" i="2"/>
  <c r="T35" i="2"/>
  <c r="V27" i="2"/>
  <c r="U27" i="2"/>
  <c r="T24" i="2"/>
  <c r="T39" i="2"/>
  <c r="T25" i="2"/>
  <c r="T41" i="2"/>
  <c r="V16" i="2"/>
  <c r="U16" i="2"/>
  <c r="Z16" i="2" s="1"/>
  <c r="AA16" i="2" s="1"/>
  <c r="U29" i="2"/>
  <c r="V29" i="2"/>
  <c r="T17" i="2"/>
  <c r="T31" i="2"/>
  <c r="T34" i="2"/>
  <c r="T37" i="2"/>
  <c r="T33" i="2"/>
  <c r="T38" i="2"/>
  <c r="T28" i="2"/>
  <c r="T42" i="2"/>
  <c r="Z40" i="2" l="1"/>
  <c r="AA40" i="2" s="1"/>
  <c r="Z32" i="2"/>
  <c r="AA32" i="2" s="1"/>
  <c r="Z27" i="2"/>
  <c r="AA27" i="2" s="1"/>
  <c r="Z36" i="2"/>
  <c r="AA36" i="2" s="1"/>
  <c r="V24" i="2"/>
  <c r="U24" i="2"/>
  <c r="Z24" i="2" s="1"/>
  <c r="AA24" i="2" s="1"/>
  <c r="V31" i="2"/>
  <c r="U31" i="2"/>
  <c r="Z31" i="2" s="1"/>
  <c r="AA31" i="2" s="1"/>
  <c r="V18" i="2"/>
  <c r="U18" i="2"/>
  <c r="Z18" i="2" s="1"/>
  <c r="AA18" i="2" s="1"/>
  <c r="T13" i="2"/>
  <c r="V38" i="2"/>
  <c r="U38" i="2"/>
  <c r="V41" i="2"/>
  <c r="U41" i="2"/>
  <c r="K50" i="2"/>
  <c r="K47" i="2"/>
  <c r="K49" i="2"/>
  <c r="K46" i="2"/>
  <c r="K48" i="2"/>
  <c r="V28" i="2"/>
  <c r="U28" i="2"/>
  <c r="U34" i="2"/>
  <c r="V34" i="2"/>
  <c r="V25" i="2"/>
  <c r="U25" i="2"/>
  <c r="U26" i="2"/>
  <c r="V26" i="2"/>
  <c r="V33" i="2"/>
  <c r="U33" i="2"/>
  <c r="V22" i="2"/>
  <c r="U22" i="2"/>
  <c r="Z22" i="2" s="1"/>
  <c r="AA22" i="2" s="1"/>
  <c r="V39" i="2"/>
  <c r="U39" i="2"/>
  <c r="V20" i="2"/>
  <c r="U20" i="2"/>
  <c r="Z20" i="2" s="1"/>
  <c r="AA20" i="2" s="1"/>
  <c r="V14" i="2"/>
  <c r="U14" i="2"/>
  <c r="Z21" i="2"/>
  <c r="AA21" i="2" s="1"/>
  <c r="V17" i="2"/>
  <c r="U17" i="2"/>
  <c r="V35" i="2"/>
  <c r="U35" i="2"/>
  <c r="V42" i="2"/>
  <c r="U42" i="2"/>
  <c r="U37" i="2"/>
  <c r="V37" i="2"/>
  <c r="Z29" i="2"/>
  <c r="AA29" i="2" s="1"/>
  <c r="V30" i="2"/>
  <c r="U30" i="2"/>
  <c r="Z42" i="2" l="1"/>
  <c r="AA42" i="2" s="1"/>
  <c r="Z41" i="2"/>
  <c r="AA41" i="2" s="1"/>
  <c r="Z38" i="2"/>
  <c r="AA38" i="2" s="1"/>
  <c r="Z17" i="2"/>
  <c r="AA17" i="2" s="1"/>
  <c r="Z35" i="2"/>
  <c r="AA35" i="2" s="1"/>
  <c r="Z26" i="2"/>
  <c r="AA26" i="2" s="1"/>
  <c r="K53" i="2"/>
  <c r="Z30" i="2"/>
  <c r="AA30" i="2" s="1"/>
  <c r="Z39" i="2"/>
  <c r="AA39" i="2" s="1"/>
  <c r="Z25" i="2"/>
  <c r="AA25" i="2" s="1"/>
  <c r="U13" i="2"/>
  <c r="V13" i="2"/>
  <c r="H47" i="2" s="1"/>
  <c r="Z34" i="2"/>
  <c r="AA34" i="2" s="1"/>
  <c r="Z37" i="2"/>
  <c r="AA37" i="2" s="1"/>
  <c r="Z14" i="2"/>
  <c r="AA14" i="2" s="1"/>
  <c r="Z33" i="2"/>
  <c r="AA33" i="2" s="1"/>
  <c r="Z28" i="2"/>
  <c r="AA28" i="2" s="1"/>
  <c r="H46" i="2" l="1"/>
  <c r="H53" i="2" s="1"/>
  <c r="Z13" i="2"/>
  <c r="Z43" i="2" l="1"/>
  <c r="AA13" i="2"/>
  <c r="AA43" i="2" s="1"/>
  <c r="F55" i="2" s="1"/>
</calcChain>
</file>

<file path=xl/sharedStrings.xml><?xml version="1.0" encoding="utf-8"?>
<sst xmlns="http://schemas.openxmlformats.org/spreadsheetml/2006/main" count="1107" uniqueCount="222">
  <si>
    <t>Codigo del 
Empleado</t>
  </si>
  <si>
    <t>Nombre del Empleado</t>
  </si>
  <si>
    <t>Cargo del Empleado</t>
  </si>
  <si>
    <t>Salario Basico</t>
  </si>
  <si>
    <t>Salario Diario</t>
  </si>
  <si>
    <t>0001</t>
  </si>
  <si>
    <t>Ospina Borja Pedro Nel</t>
  </si>
  <si>
    <t>Digitador</t>
  </si>
  <si>
    <t>0002</t>
  </si>
  <si>
    <t>Andrés Felipe Ramírez</t>
  </si>
  <si>
    <t>Vendedor</t>
  </si>
  <si>
    <t>0003</t>
  </si>
  <si>
    <t>Ángela María Hernández</t>
  </si>
  <si>
    <t>Auxiliar Contable</t>
  </si>
  <si>
    <t>0004</t>
  </si>
  <si>
    <t>Camilo Ceballos</t>
  </si>
  <si>
    <t>Operario</t>
  </si>
  <si>
    <t>0005</t>
  </si>
  <si>
    <t>Carlos Andrés Giraldo</t>
  </si>
  <si>
    <t>Secretaria</t>
  </si>
  <si>
    <t>0006</t>
  </si>
  <si>
    <t>Carlos Mario Quiroz</t>
  </si>
  <si>
    <t>0007</t>
  </si>
  <si>
    <t>Carolina Rodríguez</t>
  </si>
  <si>
    <t>Aseadora</t>
  </si>
  <si>
    <t>0008</t>
  </si>
  <si>
    <t>Claudia González</t>
  </si>
  <si>
    <t>0009</t>
  </si>
  <si>
    <t>Diana López</t>
  </si>
  <si>
    <t>0010</t>
  </si>
  <si>
    <t>Didier Alejandro Sánchez</t>
  </si>
  <si>
    <t>0011</t>
  </si>
  <si>
    <t>Dora Luz Montoya</t>
  </si>
  <si>
    <t>0012</t>
  </si>
  <si>
    <t>Doralba Galeano</t>
  </si>
  <si>
    <t>Operaria</t>
  </si>
  <si>
    <t>0013</t>
  </si>
  <si>
    <t>Eliana Marcela Aguirre</t>
  </si>
  <si>
    <t>Gerente</t>
  </si>
  <si>
    <t>0014</t>
  </si>
  <si>
    <t>Francy Ruby Román</t>
  </si>
  <si>
    <t>0015</t>
  </si>
  <si>
    <t>Hernán Darío Hernández</t>
  </si>
  <si>
    <t>0016</t>
  </si>
  <si>
    <t>Leidy Maritza Herrera</t>
  </si>
  <si>
    <t>0017</t>
  </si>
  <si>
    <t>Leidy Rosalía Galvis</t>
  </si>
  <si>
    <t>0018</t>
  </si>
  <si>
    <t>Luis Fernando Vanegas</t>
  </si>
  <si>
    <t>0019</t>
  </si>
  <si>
    <t>Liliana Ríos</t>
  </si>
  <si>
    <t>0020</t>
  </si>
  <si>
    <t>Luz Enith Betancur</t>
  </si>
  <si>
    <t>0021</t>
  </si>
  <si>
    <t>Maricela López</t>
  </si>
  <si>
    <t>0022</t>
  </si>
  <si>
    <t>Martha Deisy Ceballos</t>
  </si>
  <si>
    <t>Digitadora</t>
  </si>
  <si>
    <t>0023</t>
  </si>
  <si>
    <t>Mauricio Alzate</t>
  </si>
  <si>
    <t>0024</t>
  </si>
  <si>
    <t>Mónica Yurany Giraldo</t>
  </si>
  <si>
    <t>0025</t>
  </si>
  <si>
    <t>Nayibet Galvis</t>
  </si>
  <si>
    <t>0026</t>
  </si>
  <si>
    <t>Patricia Rodriguez</t>
  </si>
  <si>
    <t>0027</t>
  </si>
  <si>
    <t>Sandra Marcela Rojas</t>
  </si>
  <si>
    <t>0028</t>
  </si>
  <si>
    <t>Yeisón Fernando García</t>
  </si>
  <si>
    <t>0029</t>
  </si>
  <si>
    <t>Yohiner Tangarife</t>
  </si>
  <si>
    <t>0030</t>
  </si>
  <si>
    <t>Yuliana Cardona</t>
  </si>
  <si>
    <t>NÓMINA PARA EL PAGO DE SUELDOS</t>
  </si>
  <si>
    <t xml:space="preserve">PERIODO DE PAGO DEL________01_____________ </t>
  </si>
  <si>
    <t>AL_______________31 DE OCTUBRE_______________________________________________</t>
  </si>
  <si>
    <t>CODIGO</t>
  </si>
  <si>
    <t xml:space="preserve">NOMBRE </t>
  </si>
  <si>
    <t>CARGO</t>
  </si>
  <si>
    <t>NÚMERO</t>
  </si>
  <si>
    <t>BÁSICO</t>
  </si>
  <si>
    <t xml:space="preserve">BÁSICO </t>
  </si>
  <si>
    <t>DEVENGADOS</t>
  </si>
  <si>
    <t xml:space="preserve">TOTAL
</t>
  </si>
  <si>
    <t>DEDUCCIONES</t>
  </si>
  <si>
    <t>TOTAL</t>
  </si>
  <si>
    <t>NETO</t>
  </si>
  <si>
    <t>DEL</t>
  </si>
  <si>
    <t xml:space="preserve">DEL </t>
  </si>
  <si>
    <t xml:space="preserve">DE </t>
  </si>
  <si>
    <t>NÚMERO DE HORAS EXTRAS</t>
  </si>
  <si>
    <t>VALOR DE HORAS EXTRAS</t>
  </si>
  <si>
    <t>AUXILIO</t>
  </si>
  <si>
    <t>VALOR</t>
  </si>
  <si>
    <t>APORTES</t>
  </si>
  <si>
    <t>EMPLEADO</t>
  </si>
  <si>
    <t>EMPLEADO2</t>
  </si>
  <si>
    <t>CARGO DEL EMPLEADO</t>
  </si>
  <si>
    <t>DÍAS</t>
  </si>
  <si>
    <t>DIARIO</t>
  </si>
  <si>
    <t>MENSUAL</t>
  </si>
  <si>
    <t>DIURNA</t>
  </si>
  <si>
    <t>NOCTURNA</t>
  </si>
  <si>
    <t>FESTIVA  DIURNA</t>
  </si>
  <si>
    <t>FESTIVA  NOCTURNA</t>
  </si>
  <si>
    <t>DIURNA3</t>
  </si>
  <si>
    <t>NOCTURNA4</t>
  </si>
  <si>
    <t>FESTIVA DIURNA</t>
  </si>
  <si>
    <t>FESTIVA NOCTURNA</t>
  </si>
  <si>
    <t>EXTRAS</t>
  </si>
  <si>
    <t>TRANSPORTE</t>
  </si>
  <si>
    <t>COMISIÓN</t>
  </si>
  <si>
    <t>BONIFICACIÓN</t>
  </si>
  <si>
    <t>DEVENGADO</t>
  </si>
  <si>
    <t>DEVENGADO SIN AUXILIO</t>
  </si>
  <si>
    <t>EPS</t>
  </si>
  <si>
    <t>FP</t>
  </si>
  <si>
    <t>FS</t>
  </si>
  <si>
    <t>COOPERATIVA</t>
  </si>
  <si>
    <t>SINDICATO</t>
  </si>
  <si>
    <t>PAGADO</t>
  </si>
  <si>
    <t>TOTALES</t>
  </si>
  <si>
    <t>APROPIACIONES</t>
  </si>
  <si>
    <t>%</t>
  </si>
  <si>
    <t>DATOS BÁSICOS PARA LIQUIDAR LA NÓMINA</t>
  </si>
  <si>
    <t>OSERVACIONES</t>
  </si>
  <si>
    <t>SALARIO MINIMO</t>
  </si>
  <si>
    <t>DATOS HORAS EXTRAS</t>
  </si>
  <si>
    <t>Despues de 10 salarios minimos el salario pasa hacer integral y para el calculo de la seguridad</t>
  </si>
  <si>
    <t>BÁSICOMENSUAL</t>
  </si>
  <si>
    <t>IVM</t>
  </si>
  <si>
    <t>CESANTIAS</t>
  </si>
  <si>
    <t>AUXILIO TRANSPORTE</t>
  </si>
  <si>
    <t>Extra Diurna</t>
  </si>
  <si>
    <t>social se toma sobre el 70% el 30% restante es factor prestacional</t>
  </si>
  <si>
    <t>INT CESANT</t>
  </si>
  <si>
    <t>% EPS EMPLEADO</t>
  </si>
  <si>
    <t>Extra Nocturna</t>
  </si>
  <si>
    <t>PRIMAS</t>
  </si>
  <si>
    <t>% FP EMPLEADO</t>
  </si>
  <si>
    <t>Extra Festiva Duirna</t>
  </si>
  <si>
    <t>VACACIONES</t>
  </si>
  <si>
    <t>% FS</t>
  </si>
  <si>
    <t>Extra Festiva Nocturna</t>
  </si>
  <si>
    <t>SENA</t>
  </si>
  <si>
    <t>ICBF</t>
  </si>
  <si>
    <t>VALOR VENTAS MES</t>
  </si>
  <si>
    <t>TOTAL DEVENGADO</t>
  </si>
  <si>
    <t>TOTAL DEDUCIDO</t>
  </si>
  <si>
    <t>TOTAL APROPIACIONES</t>
  </si>
  <si>
    <t>% COMISIÓN</t>
  </si>
  <si>
    <t>% COOPERATIVA</t>
  </si>
  <si>
    <t>TOTAL NETO PAGADO</t>
  </si>
  <si>
    <t>NÚMERO CHEQUE</t>
  </si>
  <si>
    <t>0001-256548-454652</t>
  </si>
  <si>
    <t>% SINDICATO</t>
  </si>
  <si>
    <t>BANCO</t>
  </si>
  <si>
    <t>BANCOLOMBIA</t>
  </si>
  <si>
    <t>% BONIFICACIÓN</t>
  </si>
  <si>
    <t>COLILLA DE PAGO</t>
  </si>
  <si>
    <t>LEONISA INTERNACIONAL</t>
  </si>
  <si>
    <t>PAGO DEL 1 AL 30 DE OCTUBRE</t>
  </si>
  <si>
    <t>CODIGO DEL EMPLEADO</t>
  </si>
  <si>
    <t>NOMBRE DEL EMPLEADO</t>
  </si>
  <si>
    <t>BÁSICO MENSUAL</t>
  </si>
  <si>
    <t xml:space="preserve"> EPS</t>
  </si>
  <si>
    <t>TOTAL EXTRAS</t>
  </si>
  <si>
    <t xml:space="preserve"> FP</t>
  </si>
  <si>
    <t xml:space="preserve"> TRANSPORTE</t>
  </si>
  <si>
    <t xml:space="preserve"> FS</t>
  </si>
  <si>
    <t xml:space="preserve"> COMISIÓN</t>
  </si>
  <si>
    <t xml:space="preserve"> COOPERATIVA</t>
  </si>
  <si>
    <t xml:space="preserve"> BONIFICACIÓN</t>
  </si>
  <si>
    <t xml:space="preserve"> SINDICATO</t>
  </si>
  <si>
    <t xml:space="preserve"> DEVENGADO</t>
  </si>
  <si>
    <t xml:space="preserve"> DEDUCCIONES</t>
  </si>
  <si>
    <t>NETO PAGADO</t>
  </si>
  <si>
    <t>FILTRO QUE SOLO VISUALICE LANOMINA DE LOS EMPLEADOS CUYO CARGO ES OPERARIO U OPERARIA</t>
  </si>
  <si>
    <t>TOTAL NOMINA OPERARIOS</t>
  </si>
  <si>
    <t>Total Aseadora</t>
  </si>
  <si>
    <t>Total Auxiliar Contable</t>
  </si>
  <si>
    <t>Total Digitador</t>
  </si>
  <si>
    <t>Total Digitadora</t>
  </si>
  <si>
    <t>Total Gerente</t>
  </si>
  <si>
    <t>Total Operaria</t>
  </si>
  <si>
    <t>Total Operario</t>
  </si>
  <si>
    <t>Total Secretaria</t>
  </si>
  <si>
    <t>Total Vendedor</t>
  </si>
  <si>
    <t>Total general</t>
  </si>
  <si>
    <t>Diseñar Tabla Dinamica que visualice el total de empleados por cargo</t>
  </si>
  <si>
    <t>Etiquetas de fila</t>
  </si>
  <si>
    <t>Cuenta 0001</t>
  </si>
  <si>
    <t>Cuenta 0002</t>
  </si>
  <si>
    <t>Cuenta 0003</t>
  </si>
  <si>
    <t>Cuenta 0004</t>
  </si>
  <si>
    <t>Cuenta 0005</t>
  </si>
  <si>
    <t>Cuenta 0006</t>
  </si>
  <si>
    <t>Cuenta 0007</t>
  </si>
  <si>
    <t>Cuenta 0008</t>
  </si>
  <si>
    <t>Cuenta 0009</t>
  </si>
  <si>
    <t>Cuenta 0010</t>
  </si>
  <si>
    <t>Cuenta 0011</t>
  </si>
  <si>
    <t>Cuenta 0012</t>
  </si>
  <si>
    <t>Cuenta 0013</t>
  </si>
  <si>
    <t>Cuenta 0014</t>
  </si>
  <si>
    <t>Cuenta 0015</t>
  </si>
  <si>
    <t>Cuenta 0016</t>
  </si>
  <si>
    <t>Cuenta 0017</t>
  </si>
  <si>
    <t>Cuenta 0018</t>
  </si>
  <si>
    <t>Cuenta 0019</t>
  </si>
  <si>
    <t>Cuenta 0020</t>
  </si>
  <si>
    <t>Cuenta 0021</t>
  </si>
  <si>
    <t>Cuenta 0022</t>
  </si>
  <si>
    <t>Cuenta 0023</t>
  </si>
  <si>
    <t>Cuenta 0024</t>
  </si>
  <si>
    <t>Cuenta 0025</t>
  </si>
  <si>
    <t>Cuenta 0026</t>
  </si>
  <si>
    <t>Cuenta 0027</t>
  </si>
  <si>
    <t>Cuenta 0028</t>
  </si>
  <si>
    <t>Cuenta 0029</t>
  </si>
  <si>
    <t>Cuenta 0030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</si>
</sst>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_(&quot;$&quot;* #,##0_);_(&quot;$&quot;* \(#,##0\);_(&quot;$&quot;* &quot;-&quot;??_);_(@_)"/>
    <numFmt numFmtId="165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ahoma"/>
      <family val="2"/>
    </font>
    <font>
      <sz val="10"/>
      <name val="Tahoma"/>
      <family val="2"/>
    </font>
    <font>
      <sz val="8"/>
      <name val="Times New Roman"/>
      <family val="1"/>
    </font>
    <font>
      <sz val="9"/>
      <name val="Arial"/>
      <family val="2"/>
    </font>
    <font>
      <sz val="9"/>
      <name val="Times New Roman"/>
      <family val="1"/>
    </font>
    <font>
      <b/>
      <sz val="9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name val="Tahoma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12"/>
      </right>
      <top style="thick">
        <color indexed="64"/>
      </top>
      <bottom style="thick">
        <color indexed="64"/>
      </bottom>
      <diagonal/>
    </border>
    <border>
      <left style="medium">
        <color indexed="12"/>
      </left>
      <right style="medium">
        <color indexed="12"/>
      </right>
      <top style="thick">
        <color indexed="64"/>
      </top>
      <bottom style="thick">
        <color indexed="64"/>
      </bottom>
      <diagonal/>
    </border>
    <border>
      <left style="medium">
        <color indexed="12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12"/>
      </right>
      <top style="thick">
        <color indexed="64"/>
      </top>
      <bottom/>
      <diagonal/>
    </border>
    <border>
      <left style="medium">
        <color indexed="12"/>
      </left>
      <right style="medium">
        <color indexed="12"/>
      </right>
      <top style="thick">
        <color indexed="64"/>
      </top>
      <bottom/>
      <diagonal/>
    </border>
    <border>
      <left style="medium">
        <color indexed="12"/>
      </left>
      <right style="thick">
        <color indexed="64"/>
      </right>
      <top style="thick">
        <color indexed="64"/>
      </top>
      <bottom/>
      <diagonal/>
    </border>
    <border>
      <left/>
      <right style="medium">
        <color indexed="12"/>
      </right>
      <top/>
      <bottom/>
      <diagonal/>
    </border>
    <border>
      <left style="medium">
        <color indexed="12"/>
      </left>
      <right style="medium">
        <color indexed="12"/>
      </right>
      <top/>
      <bottom/>
      <diagonal/>
    </border>
    <border>
      <left style="medium">
        <color indexed="12"/>
      </left>
      <right/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12"/>
      </right>
      <top style="thick">
        <color indexed="64"/>
      </top>
      <bottom style="medium">
        <color indexed="12"/>
      </bottom>
      <diagonal/>
    </border>
    <border>
      <left style="medium">
        <color indexed="12"/>
      </left>
      <right style="medium">
        <color indexed="12"/>
      </right>
      <top style="thick">
        <color indexed="64"/>
      </top>
      <bottom style="medium">
        <color indexed="12"/>
      </bottom>
      <diagonal/>
    </border>
    <border>
      <left style="medium">
        <color indexed="12"/>
      </left>
      <right style="thick">
        <color indexed="64"/>
      </right>
      <top style="thick">
        <color indexed="64"/>
      </top>
      <bottom style="medium">
        <color indexed="12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12"/>
      </bottom>
      <diagonal/>
    </border>
    <border>
      <left style="thick">
        <color indexed="64"/>
      </left>
      <right style="medium">
        <color indexed="12"/>
      </right>
      <top style="medium">
        <color indexed="12"/>
      </top>
      <bottom style="thick">
        <color indexed="64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thick">
        <color indexed="64"/>
      </bottom>
      <diagonal/>
    </border>
    <border>
      <left style="medium">
        <color indexed="12"/>
      </left>
      <right style="thick">
        <color indexed="64"/>
      </right>
      <top style="medium">
        <color indexed="12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12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4">
    <xf numFmtId="0" fontId="0" fillId="0" borderId="0" xfId="0"/>
    <xf numFmtId="49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2" xfId="0" applyFont="1" applyBorder="1"/>
    <xf numFmtId="44" fontId="3" fillId="0" borderId="2" xfId="1" applyFont="1" applyBorder="1"/>
    <xf numFmtId="164" fontId="3" fillId="0" borderId="2" xfId="1" applyNumberFormat="1" applyFont="1" applyBorder="1"/>
    <xf numFmtId="49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3" xfId="0" applyFont="1" applyBorder="1"/>
    <xf numFmtId="44" fontId="3" fillId="0" borderId="3" xfId="1" applyFont="1" applyBorder="1"/>
    <xf numFmtId="164" fontId="3" fillId="0" borderId="3" xfId="1" applyNumberFormat="1" applyFont="1" applyBorder="1"/>
    <xf numFmtId="0" fontId="4" fillId="0" borderId="0" xfId="0" applyFont="1"/>
    <xf numFmtId="0" fontId="5" fillId="2" borderId="4" xfId="0" applyFont="1" applyFill="1" applyBorder="1"/>
    <xf numFmtId="0" fontId="5" fillId="2" borderId="5" xfId="0" applyFont="1" applyFill="1" applyBorder="1"/>
    <xf numFmtId="164" fontId="5" fillId="2" borderId="5" xfId="1" applyNumberFormat="1" applyFont="1" applyFill="1" applyBorder="1"/>
    <xf numFmtId="0" fontId="5" fillId="2" borderId="6" xfId="0" applyFont="1" applyFill="1" applyBorder="1"/>
    <xf numFmtId="0" fontId="6" fillId="0" borderId="0" xfId="0" applyFont="1"/>
    <xf numFmtId="0" fontId="5" fillId="2" borderId="7" xfId="0" applyFont="1" applyFill="1" applyBorder="1"/>
    <xf numFmtId="0" fontId="5" fillId="2" borderId="0" xfId="0" applyFont="1" applyFill="1" applyBorder="1"/>
    <xf numFmtId="164" fontId="5" fillId="2" borderId="0" xfId="1" applyNumberFormat="1" applyFont="1" applyFill="1" applyBorder="1"/>
    <xf numFmtId="0" fontId="5" fillId="2" borderId="8" xfId="0" applyFont="1" applyFill="1" applyBorder="1"/>
    <xf numFmtId="0" fontId="7" fillId="2" borderId="7" xfId="0" applyFont="1" applyFill="1" applyBorder="1"/>
    <xf numFmtId="0" fontId="7" fillId="2" borderId="0" xfId="0" applyFont="1" applyFill="1" applyBorder="1"/>
    <xf numFmtId="164" fontId="7" fillId="2" borderId="0" xfId="1" applyNumberFormat="1" applyFont="1" applyFill="1" applyBorder="1"/>
    <xf numFmtId="0" fontId="7" fillId="2" borderId="7" xfId="0" applyFont="1" applyFill="1" applyBorder="1" applyAlignment="1">
      <alignment horizontal="right"/>
    </xf>
    <xf numFmtId="0" fontId="7" fillId="2" borderId="0" xfId="0" applyFont="1" applyFill="1" applyBorder="1" applyAlignment="1">
      <alignment horizontal="right"/>
    </xf>
    <xf numFmtId="164" fontId="7" fillId="2" borderId="0" xfId="1" applyNumberFormat="1" applyFont="1" applyFill="1" applyBorder="1" applyAlignment="1">
      <alignment horizontal="right"/>
    </xf>
    <xf numFmtId="0" fontId="7" fillId="2" borderId="0" xfId="0" applyFont="1" applyFill="1" applyBorder="1" applyAlignment="1">
      <alignment horizontal="left"/>
    </xf>
    <xf numFmtId="164" fontId="7" fillId="2" borderId="0" xfId="1" applyNumberFormat="1" applyFont="1" applyFill="1" applyBorder="1" applyAlignment="1">
      <alignment horizontal="left"/>
    </xf>
    <xf numFmtId="0" fontId="5" fillId="2" borderId="9" xfId="0" applyFont="1" applyFill="1" applyBorder="1"/>
    <xf numFmtId="0" fontId="5" fillId="2" borderId="10" xfId="0" applyFont="1" applyFill="1" applyBorder="1"/>
    <xf numFmtId="164" fontId="5" fillId="2" borderId="10" xfId="1" applyNumberFormat="1" applyFont="1" applyFill="1" applyBorder="1"/>
    <xf numFmtId="0" fontId="5" fillId="2" borderId="11" xfId="0" applyFont="1" applyFill="1" applyBorder="1"/>
    <xf numFmtId="0" fontId="7" fillId="2" borderId="12" xfId="0" applyFont="1" applyFill="1" applyBorder="1" applyAlignment="1">
      <alignment horizontal="center" vertical="center" wrapText="1"/>
    </xf>
    <xf numFmtId="164" fontId="7" fillId="2" borderId="12" xfId="1" applyNumberFormat="1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164" fontId="7" fillId="2" borderId="16" xfId="1" applyNumberFormat="1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164" fontId="7" fillId="2" borderId="23" xfId="1" applyNumberFormat="1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 wrapText="1"/>
    </xf>
    <xf numFmtId="164" fontId="7" fillId="2" borderId="24" xfId="1" applyNumberFormat="1" applyFont="1" applyFill="1" applyBorder="1" applyAlignment="1">
      <alignment horizontal="center" vertical="center"/>
    </xf>
    <xf numFmtId="164" fontId="7" fillId="2" borderId="24" xfId="1" applyNumberFormat="1" applyFont="1" applyFill="1" applyBorder="1" applyAlignment="1">
      <alignment horizontal="center" vertical="center" wrapText="1"/>
    </xf>
    <xf numFmtId="164" fontId="7" fillId="2" borderId="25" xfId="1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 applyProtection="1">
      <alignment horizontal="center"/>
      <protection locked="0"/>
    </xf>
    <xf numFmtId="0" fontId="5" fillId="2" borderId="26" xfId="0" applyFont="1" applyFill="1" applyBorder="1" applyAlignment="1">
      <alignment horizontal="left"/>
    </xf>
    <xf numFmtId="0" fontId="5" fillId="2" borderId="2" xfId="0" applyNumberFormat="1" applyFont="1" applyFill="1" applyBorder="1" applyAlignment="1">
      <alignment horizontal="center"/>
    </xf>
    <xf numFmtId="164" fontId="5" fillId="2" borderId="26" xfId="1" applyNumberFormat="1" applyFont="1" applyFill="1" applyBorder="1" applyAlignment="1">
      <alignment horizontal="right"/>
    </xf>
    <xf numFmtId="164" fontId="5" fillId="2" borderId="26" xfId="1" applyNumberFormat="1" applyFont="1" applyFill="1" applyBorder="1"/>
    <xf numFmtId="0" fontId="5" fillId="2" borderId="26" xfId="0" applyFont="1" applyFill="1" applyBorder="1" applyAlignment="1">
      <alignment horizontal="center"/>
    </xf>
    <xf numFmtId="164" fontId="5" fillId="2" borderId="27" xfId="1" applyNumberFormat="1" applyFont="1" applyFill="1" applyBorder="1"/>
    <xf numFmtId="164" fontId="5" fillId="2" borderId="28" xfId="1" applyNumberFormat="1" applyFont="1" applyFill="1" applyBorder="1"/>
    <xf numFmtId="49" fontId="5" fillId="2" borderId="3" xfId="0" applyNumberFormat="1" applyFont="1" applyFill="1" applyBorder="1" applyAlignment="1" applyProtection="1">
      <alignment horizontal="center"/>
      <protection locked="0"/>
    </xf>
    <xf numFmtId="0" fontId="5" fillId="2" borderId="3" xfId="0" applyNumberFormat="1" applyFont="1" applyFill="1" applyBorder="1" applyAlignment="1">
      <alignment horizontal="center"/>
    </xf>
    <xf numFmtId="49" fontId="5" fillId="2" borderId="29" xfId="0" applyNumberFormat="1" applyFont="1" applyFill="1" applyBorder="1" applyAlignment="1">
      <alignment horizontal="center"/>
    </xf>
    <xf numFmtId="0" fontId="5" fillId="2" borderId="29" xfId="0" applyFont="1" applyFill="1" applyBorder="1"/>
    <xf numFmtId="0" fontId="5" fillId="2" borderId="29" xfId="0" applyFont="1" applyFill="1" applyBorder="1" applyAlignment="1">
      <alignment horizontal="center"/>
    </xf>
    <xf numFmtId="164" fontId="5" fillId="2" borderId="29" xfId="1" applyNumberFormat="1" applyFont="1" applyFill="1" applyBorder="1"/>
    <xf numFmtId="164" fontId="5" fillId="2" borderId="16" xfId="1" applyNumberFormat="1" applyFont="1" applyFill="1" applyBorder="1"/>
    <xf numFmtId="164" fontId="7" fillId="2" borderId="24" xfId="1" applyNumberFormat="1" applyFont="1" applyFill="1" applyBorder="1" applyAlignment="1">
      <alignment horizontal="center"/>
    </xf>
    <xf numFmtId="0" fontId="7" fillId="2" borderId="4" xfId="0" applyFont="1" applyFill="1" applyBorder="1"/>
    <xf numFmtId="164" fontId="5" fillId="2" borderId="24" xfId="1" applyNumberFormat="1" applyFont="1" applyFill="1" applyBorder="1" applyAlignment="1">
      <alignment horizontal="center"/>
    </xf>
    <xf numFmtId="164" fontId="5" fillId="2" borderId="24" xfId="1" applyNumberFormat="1" applyFont="1" applyFill="1" applyBorder="1"/>
    <xf numFmtId="164" fontId="5" fillId="2" borderId="25" xfId="0" applyNumberFormat="1" applyFont="1" applyFill="1" applyBorder="1"/>
    <xf numFmtId="1" fontId="7" fillId="2" borderId="24" xfId="0" applyNumberFormat="1" applyFont="1" applyFill="1" applyBorder="1"/>
    <xf numFmtId="0" fontId="7" fillId="2" borderId="24" xfId="0" applyFont="1" applyFill="1" applyBorder="1" applyAlignment="1">
      <alignment horizontal="center"/>
    </xf>
    <xf numFmtId="9" fontId="5" fillId="2" borderId="24" xfId="0" applyNumberFormat="1" applyFont="1" applyFill="1" applyBorder="1" applyAlignment="1"/>
    <xf numFmtId="164" fontId="5" fillId="2" borderId="24" xfId="1" applyNumberFormat="1" applyFont="1" applyFill="1" applyBorder="1" applyAlignment="1"/>
    <xf numFmtId="0" fontId="5" fillId="2" borderId="24" xfId="0" applyFont="1" applyFill="1" applyBorder="1" applyAlignment="1"/>
    <xf numFmtId="0" fontId="7" fillId="2" borderId="13" xfId="0" applyFont="1" applyFill="1" applyBorder="1" applyAlignment="1">
      <alignment horizontal="left"/>
    </xf>
    <xf numFmtId="0" fontId="7" fillId="2" borderId="14" xfId="0" applyFont="1" applyFill="1" applyBorder="1" applyAlignment="1">
      <alignment horizontal="left"/>
    </xf>
    <xf numFmtId="0" fontId="7" fillId="2" borderId="15" xfId="0" applyFont="1" applyFill="1" applyBorder="1" applyAlignment="1">
      <alignment horizontal="left"/>
    </xf>
    <xf numFmtId="164" fontId="7" fillId="2" borderId="24" xfId="1" applyNumberFormat="1" applyFont="1" applyFill="1" applyBorder="1" applyAlignment="1">
      <alignment horizontal="left"/>
    </xf>
    <xf numFmtId="0" fontId="7" fillId="2" borderId="24" xfId="0" applyFont="1" applyFill="1" applyBorder="1" applyAlignment="1">
      <alignment horizontal="left"/>
    </xf>
    <xf numFmtId="1" fontId="7" fillId="2" borderId="4" xfId="0" applyNumberFormat="1" applyFont="1" applyFill="1" applyBorder="1"/>
    <xf numFmtId="1" fontId="7" fillId="2" borderId="5" xfId="0" applyNumberFormat="1" applyFont="1" applyFill="1" applyBorder="1"/>
    <xf numFmtId="0" fontId="7" fillId="2" borderId="6" xfId="0" applyFont="1" applyFill="1" applyBorder="1" applyAlignment="1">
      <alignment horizontal="center"/>
    </xf>
    <xf numFmtId="9" fontId="5" fillId="2" borderId="24" xfId="0" applyNumberFormat="1" applyFont="1" applyFill="1" applyBorder="1" applyAlignment="1">
      <alignment horizontal="center"/>
    </xf>
    <xf numFmtId="165" fontId="5" fillId="2" borderId="24" xfId="2" applyNumberFormat="1" applyFont="1" applyFill="1" applyBorder="1" applyAlignment="1">
      <alignment horizontal="center"/>
    </xf>
    <xf numFmtId="165" fontId="5" fillId="2" borderId="24" xfId="0" applyNumberFormat="1" applyFont="1" applyFill="1" applyBorder="1" applyAlignment="1">
      <alignment horizontal="center"/>
    </xf>
    <xf numFmtId="0" fontId="6" fillId="2" borderId="0" xfId="0" applyFont="1" applyFill="1"/>
    <xf numFmtId="164" fontId="6" fillId="2" borderId="0" xfId="1" applyNumberFormat="1" applyFont="1" applyFill="1"/>
    <xf numFmtId="0" fontId="5" fillId="2" borderId="0" xfId="0" applyFont="1" applyFill="1"/>
    <xf numFmtId="0" fontId="9" fillId="2" borderId="0" xfId="0" applyFont="1" applyFill="1"/>
    <xf numFmtId="0" fontId="10" fillId="0" borderId="0" xfId="0" applyFont="1"/>
    <xf numFmtId="0" fontId="11" fillId="2" borderId="48" xfId="0" applyFont="1" applyFill="1" applyBorder="1"/>
    <xf numFmtId="0" fontId="11" fillId="2" borderId="45" xfId="0" applyFont="1" applyFill="1" applyBorder="1"/>
    <xf numFmtId="3" fontId="8" fillId="2" borderId="44" xfId="0" applyNumberFormat="1" applyFont="1" applyFill="1" applyBorder="1"/>
    <xf numFmtId="0" fontId="11" fillId="2" borderId="51" xfId="0" applyFont="1" applyFill="1" applyBorder="1"/>
    <xf numFmtId="3" fontId="8" fillId="2" borderId="52" xfId="1" applyNumberFormat="1" applyFont="1" applyFill="1" applyBorder="1"/>
    <xf numFmtId="0" fontId="11" fillId="2" borderId="40" xfId="0" applyFont="1" applyFill="1" applyBorder="1"/>
    <xf numFmtId="3" fontId="8" fillId="2" borderId="48" xfId="1" applyNumberFormat="1" applyFont="1" applyFill="1" applyBorder="1" applyAlignment="1">
      <alignment horizontal="center"/>
    </xf>
    <xf numFmtId="3" fontId="8" fillId="2" borderId="50" xfId="1" applyNumberFormat="1" applyFont="1" applyFill="1" applyBorder="1" applyAlignment="1">
      <alignment horizontal="center"/>
    </xf>
    <xf numFmtId="0" fontId="11" fillId="2" borderId="52" xfId="0" applyFont="1" applyFill="1" applyBorder="1"/>
    <xf numFmtId="0" fontId="11" fillId="2" borderId="43" xfId="0" applyFont="1" applyFill="1" applyBorder="1"/>
    <xf numFmtId="0" fontId="11" fillId="2" borderId="53" xfId="0" applyFont="1" applyFill="1" applyBorder="1"/>
    <xf numFmtId="0" fontId="8" fillId="2" borderId="53" xfId="0" applyFont="1" applyFill="1" applyBorder="1"/>
    <xf numFmtId="3" fontId="8" fillId="2" borderId="0" xfId="0" applyNumberFormat="1" applyFont="1" applyFill="1" applyBorder="1"/>
    <xf numFmtId="0" fontId="8" fillId="2" borderId="0" xfId="0" applyFont="1" applyFill="1" applyBorder="1"/>
    <xf numFmtId="0" fontId="11" fillId="2" borderId="49" xfId="0" applyFont="1" applyFill="1" applyBorder="1"/>
    <xf numFmtId="0" fontId="8" fillId="2" borderId="54" xfId="0" applyFont="1" applyFill="1" applyBorder="1"/>
    <xf numFmtId="3" fontId="8" fillId="2" borderId="46" xfId="0" applyNumberFormat="1" applyFont="1" applyFill="1" applyBorder="1"/>
    <xf numFmtId="3" fontId="8" fillId="2" borderId="47" xfId="0" applyNumberFormat="1" applyFont="1" applyFill="1" applyBorder="1"/>
    <xf numFmtId="0" fontId="8" fillId="2" borderId="0" xfId="0" applyFont="1" applyFill="1"/>
    <xf numFmtId="1" fontId="8" fillId="2" borderId="0" xfId="0" applyNumberFormat="1" applyFont="1" applyFill="1" applyBorder="1"/>
    <xf numFmtId="0" fontId="10" fillId="0" borderId="0" xfId="0" applyFont="1" applyProtection="1">
      <protection locked="0"/>
    </xf>
    <xf numFmtId="0" fontId="9" fillId="0" borderId="0" xfId="0" applyFont="1"/>
    <xf numFmtId="0" fontId="12" fillId="0" borderId="0" xfId="0" applyFont="1"/>
    <xf numFmtId="0" fontId="13" fillId="0" borderId="24" xfId="0" applyFont="1" applyBorder="1" applyAlignment="1">
      <alignment horizontal="center" vertical="center" wrapText="1"/>
    </xf>
    <xf numFmtId="164" fontId="13" fillId="0" borderId="24" xfId="1" applyNumberFormat="1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/>
    </xf>
    <xf numFmtId="164" fontId="13" fillId="0" borderId="24" xfId="1" applyNumberFormat="1" applyFont="1" applyBorder="1" applyAlignment="1">
      <alignment horizontal="center" vertical="center"/>
    </xf>
    <xf numFmtId="164" fontId="13" fillId="0" borderId="25" xfId="1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/>
    </xf>
    <xf numFmtId="0" fontId="9" fillId="0" borderId="26" xfId="0" applyFont="1" applyBorder="1" applyAlignment="1">
      <alignment horizontal="left"/>
    </xf>
    <xf numFmtId="0" fontId="9" fillId="0" borderId="2" xfId="0" applyNumberFormat="1" applyFont="1" applyBorder="1" applyAlignment="1">
      <alignment horizontal="center"/>
    </xf>
    <xf numFmtId="164" fontId="9" fillId="0" borderId="26" xfId="1" applyNumberFormat="1" applyFont="1" applyBorder="1" applyAlignment="1">
      <alignment horizontal="right"/>
    </xf>
    <xf numFmtId="164" fontId="9" fillId="0" borderId="26" xfId="1" applyNumberFormat="1" applyFont="1" applyBorder="1"/>
    <xf numFmtId="0" fontId="9" fillId="0" borderId="26" xfId="0" applyFont="1" applyBorder="1" applyAlignment="1">
      <alignment horizontal="center"/>
    </xf>
    <xf numFmtId="164" fontId="9" fillId="0" borderId="12" xfId="1" applyNumberFormat="1" applyFont="1" applyBorder="1"/>
    <xf numFmtId="0" fontId="9" fillId="0" borderId="12" xfId="0" applyFont="1" applyBorder="1" applyAlignment="1">
      <alignment horizontal="center"/>
    </xf>
    <xf numFmtId="0" fontId="9" fillId="0" borderId="55" xfId="0" applyFont="1" applyBorder="1"/>
    <xf numFmtId="164" fontId="9" fillId="0" borderId="55" xfId="0" applyNumberFormat="1" applyFont="1" applyBorder="1"/>
    <xf numFmtId="164" fontId="4" fillId="0" borderId="0" xfId="1" applyNumberFormat="1" applyFont="1"/>
    <xf numFmtId="0" fontId="9" fillId="0" borderId="4" xfId="0" applyFont="1" applyBorder="1"/>
    <xf numFmtId="0" fontId="9" fillId="0" borderId="5" xfId="0" applyFont="1" applyBorder="1"/>
    <xf numFmtId="164" fontId="9" fillId="0" borderId="5" xfId="1" applyNumberFormat="1" applyFont="1" applyBorder="1"/>
    <xf numFmtId="0" fontId="9" fillId="0" borderId="6" xfId="0" applyFont="1" applyBorder="1"/>
    <xf numFmtId="0" fontId="9" fillId="0" borderId="7" xfId="0" applyFont="1" applyBorder="1"/>
    <xf numFmtId="0" fontId="9" fillId="0" borderId="0" xfId="0" applyFont="1" applyBorder="1"/>
    <xf numFmtId="164" fontId="9" fillId="0" borderId="0" xfId="1" applyNumberFormat="1" applyFont="1" applyBorder="1"/>
    <xf numFmtId="0" fontId="9" fillId="0" borderId="8" xfId="0" applyFont="1" applyBorder="1"/>
    <xf numFmtId="0" fontId="13" fillId="0" borderId="7" xfId="0" applyFont="1" applyBorder="1"/>
    <xf numFmtId="0" fontId="13" fillId="0" borderId="0" xfId="0" applyFont="1" applyBorder="1"/>
    <xf numFmtId="164" fontId="13" fillId="0" borderId="0" xfId="1" applyNumberFormat="1" applyFont="1" applyBorder="1"/>
    <xf numFmtId="0" fontId="13" fillId="0" borderId="7" xfId="0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164" fontId="13" fillId="0" borderId="0" xfId="1" applyNumberFormat="1" applyFont="1" applyBorder="1" applyAlignment="1">
      <alignment horizontal="right"/>
    </xf>
    <xf numFmtId="0" fontId="13" fillId="0" borderId="0" xfId="0" applyFont="1" applyBorder="1" applyAlignment="1">
      <alignment horizontal="left"/>
    </xf>
    <xf numFmtId="164" fontId="13" fillId="0" borderId="0" xfId="1" applyNumberFormat="1" applyFont="1" applyBorder="1" applyAlignment="1">
      <alignment horizontal="left"/>
    </xf>
    <xf numFmtId="0" fontId="9" fillId="0" borderId="9" xfId="0" applyFont="1" applyBorder="1"/>
    <xf numFmtId="0" fontId="9" fillId="0" borderId="10" xfId="0" applyFont="1" applyBorder="1"/>
    <xf numFmtId="164" fontId="9" fillId="0" borderId="10" xfId="1" applyNumberFormat="1" applyFont="1" applyBorder="1"/>
    <xf numFmtId="0" fontId="9" fillId="0" borderId="11" xfId="0" applyFont="1" applyBorder="1"/>
    <xf numFmtId="0" fontId="13" fillId="0" borderId="12" xfId="0" applyFont="1" applyBorder="1" applyAlignment="1">
      <alignment horizontal="center" vertical="center" wrapText="1"/>
    </xf>
    <xf numFmtId="164" fontId="13" fillId="0" borderId="12" xfId="1" applyNumberFormat="1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164" fontId="13" fillId="0" borderId="16" xfId="1" applyNumberFormat="1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164" fontId="13" fillId="0" borderId="23" xfId="1" applyNumberFormat="1" applyFont="1" applyBorder="1" applyAlignment="1">
      <alignment horizontal="center" vertical="center" wrapText="1"/>
    </xf>
    <xf numFmtId="0" fontId="9" fillId="0" borderId="26" xfId="0" applyFont="1" applyBorder="1"/>
    <xf numFmtId="0" fontId="9" fillId="0" borderId="2" xfId="0" applyFont="1" applyBorder="1" applyAlignment="1">
      <alignment horizontal="center"/>
    </xf>
    <xf numFmtId="164" fontId="9" fillId="0" borderId="28" xfId="1" applyNumberFormat="1" applyFont="1" applyBorder="1"/>
    <xf numFmtId="0" fontId="13" fillId="0" borderId="26" xfId="0" applyFont="1" applyBorder="1" applyAlignment="1">
      <alignment horizontal="left"/>
    </xf>
    <xf numFmtId="164" fontId="13" fillId="0" borderId="26" xfId="1" applyNumberFormat="1" applyFont="1" applyBorder="1"/>
    <xf numFmtId="164" fontId="9" fillId="0" borderId="56" xfId="1" applyNumberFormat="1" applyFont="1" applyBorder="1"/>
    <xf numFmtId="49" fontId="9" fillId="0" borderId="3" xfId="0" applyNumberFormat="1" applyFont="1" applyBorder="1" applyAlignment="1">
      <alignment horizontal="center"/>
    </xf>
    <xf numFmtId="0" fontId="9" fillId="0" borderId="3" xfId="0" applyNumberFormat="1" applyFont="1" applyBorder="1" applyAlignment="1">
      <alignment horizontal="center"/>
    </xf>
    <xf numFmtId="49" fontId="9" fillId="0" borderId="29" xfId="0" applyNumberFormat="1" applyFont="1" applyBorder="1" applyAlignment="1">
      <alignment horizontal="center"/>
    </xf>
    <xf numFmtId="0" fontId="9" fillId="0" borderId="29" xfId="0" applyFont="1" applyBorder="1" applyAlignment="1">
      <alignment horizontal="left"/>
    </xf>
    <xf numFmtId="0" fontId="9" fillId="0" borderId="29" xfId="0" applyNumberFormat="1" applyFont="1" applyBorder="1" applyAlignment="1">
      <alignment horizontal="center"/>
    </xf>
    <xf numFmtId="164" fontId="9" fillId="0" borderId="29" xfId="1" applyNumberFormat="1" applyFont="1" applyBorder="1" applyAlignment="1">
      <alignment horizontal="right"/>
    </xf>
    <xf numFmtId="164" fontId="9" fillId="0" borderId="29" xfId="1" applyNumberFormat="1" applyFont="1" applyBorder="1"/>
    <xf numFmtId="0" fontId="9" fillId="0" borderId="29" xfId="0" applyFont="1" applyBorder="1" applyAlignment="1">
      <alignment horizontal="center"/>
    </xf>
    <xf numFmtId="164" fontId="9" fillId="0" borderId="16" xfId="1" applyNumberFormat="1" applyFont="1" applyBorder="1"/>
    <xf numFmtId="49" fontId="9" fillId="0" borderId="9" xfId="0" applyNumberFormat="1" applyFont="1" applyBorder="1" applyAlignment="1">
      <alignment horizontal="center"/>
    </xf>
    <xf numFmtId="0" fontId="9" fillId="0" borderId="5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9" fillId="0" borderId="10" xfId="0" applyNumberFormat="1" applyFont="1" applyBorder="1" applyAlignment="1">
      <alignment horizontal="center"/>
    </xf>
    <xf numFmtId="164" fontId="9" fillId="0" borderId="10" xfId="1" applyNumberFormat="1" applyFont="1" applyBorder="1" applyAlignment="1">
      <alignment horizontal="right"/>
    </xf>
    <xf numFmtId="164" fontId="13" fillId="0" borderId="10" xfId="1" applyNumberFormat="1" applyFont="1" applyBorder="1"/>
    <xf numFmtId="0" fontId="9" fillId="0" borderId="10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164" fontId="9" fillId="0" borderId="23" xfId="1" applyNumberFormat="1" applyFont="1" applyBorder="1"/>
    <xf numFmtId="164" fontId="9" fillId="0" borderId="4" xfId="1" applyNumberFormat="1" applyFont="1" applyBorder="1"/>
    <xf numFmtId="164" fontId="9" fillId="0" borderId="6" xfId="1" applyNumberFormat="1" applyFont="1" applyBorder="1"/>
    <xf numFmtId="164" fontId="9" fillId="0" borderId="8" xfId="1" applyNumberFormat="1" applyFont="1" applyBorder="1"/>
    <xf numFmtId="164" fontId="9" fillId="0" borderId="7" xfId="1" applyNumberFormat="1" applyFont="1" applyBorder="1"/>
    <xf numFmtId="164" fontId="13" fillId="0" borderId="8" xfId="1" applyNumberFormat="1" applyFont="1" applyBorder="1"/>
    <xf numFmtId="164" fontId="13" fillId="0" borderId="24" xfId="1" applyNumberFormat="1" applyFont="1" applyBorder="1" applyAlignment="1">
      <alignment horizontal="center"/>
    </xf>
    <xf numFmtId="0" fontId="13" fillId="0" borderId="4" xfId="0" applyFont="1" applyBorder="1"/>
    <xf numFmtId="164" fontId="9" fillId="0" borderId="24" xfId="1" applyNumberFormat="1" applyFont="1" applyBorder="1" applyAlignment="1">
      <alignment horizontal="center"/>
    </xf>
    <xf numFmtId="164" fontId="9" fillId="0" borderId="24" xfId="1" applyNumberFormat="1" applyFont="1" applyBorder="1"/>
    <xf numFmtId="164" fontId="9" fillId="0" borderId="25" xfId="0" applyNumberFormat="1" applyFont="1" applyBorder="1"/>
    <xf numFmtId="1" fontId="13" fillId="0" borderId="24" xfId="0" applyNumberFormat="1" applyFont="1" applyBorder="1"/>
    <xf numFmtId="0" fontId="13" fillId="0" borderId="24" xfId="0" applyFont="1" applyBorder="1" applyAlignment="1">
      <alignment horizontal="center"/>
    </xf>
    <xf numFmtId="9" fontId="9" fillId="0" borderId="24" xfId="0" applyNumberFormat="1" applyFont="1" applyBorder="1" applyAlignment="1"/>
    <xf numFmtId="164" fontId="9" fillId="0" borderId="24" xfId="1" applyNumberFormat="1" applyFont="1" applyBorder="1" applyAlignment="1"/>
    <xf numFmtId="0" fontId="9" fillId="0" borderId="24" xfId="0" applyFont="1" applyBorder="1" applyAlignment="1"/>
    <xf numFmtId="0" fontId="13" fillId="0" borderId="13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3" fillId="0" borderId="15" xfId="0" applyFont="1" applyBorder="1" applyAlignment="1">
      <alignment horizontal="left"/>
    </xf>
    <xf numFmtId="164" fontId="13" fillId="0" borderId="24" xfId="1" applyNumberFormat="1" applyFont="1" applyBorder="1" applyAlignment="1">
      <alignment horizontal="left"/>
    </xf>
    <xf numFmtId="0" fontId="13" fillId="0" borderId="24" xfId="0" applyFont="1" applyBorder="1" applyAlignment="1">
      <alignment horizontal="left"/>
    </xf>
    <xf numFmtId="1" fontId="13" fillId="0" borderId="4" xfId="0" applyNumberFormat="1" applyFont="1" applyBorder="1"/>
    <xf numFmtId="1" fontId="13" fillId="0" borderId="5" xfId="0" applyNumberFormat="1" applyFont="1" applyBorder="1"/>
    <xf numFmtId="0" fontId="13" fillId="0" borderId="6" xfId="0" applyFont="1" applyBorder="1" applyAlignment="1">
      <alignment horizontal="center"/>
    </xf>
    <xf numFmtId="9" fontId="9" fillId="0" borderId="24" xfId="0" applyNumberFormat="1" applyFont="1" applyBorder="1" applyAlignment="1">
      <alignment horizontal="center"/>
    </xf>
    <xf numFmtId="165" fontId="9" fillId="0" borderId="24" xfId="2" applyNumberFormat="1" applyFont="1" applyBorder="1" applyAlignment="1">
      <alignment horizontal="center"/>
    </xf>
    <xf numFmtId="165" fontId="9" fillId="0" borderId="24" xfId="0" applyNumberFormat="1" applyFont="1" applyBorder="1" applyAlignment="1">
      <alignment horizontal="center"/>
    </xf>
    <xf numFmtId="0" fontId="12" fillId="0" borderId="0" xfId="0" pivotButton="1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inden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44" fontId="2" fillId="0" borderId="2" xfId="1" applyFont="1" applyBorder="1" applyAlignment="1">
      <alignment horizontal="center" vertical="center" wrapText="1"/>
    </xf>
    <xf numFmtId="3" fontId="7" fillId="2" borderId="24" xfId="0" applyNumberFormat="1" applyFont="1" applyFill="1" applyBorder="1" applyAlignment="1">
      <alignment horizontal="left"/>
    </xf>
    <xf numFmtId="10" fontId="5" fillId="2" borderId="24" xfId="0" applyNumberFormat="1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10" fontId="5" fillId="2" borderId="24" xfId="0" applyNumberFormat="1" applyFont="1" applyFill="1" applyBorder="1" applyAlignment="1">
      <alignment horizontal="right"/>
    </xf>
    <xf numFmtId="0" fontId="7" fillId="0" borderId="32" xfId="0" applyFont="1" applyBorder="1" applyAlignment="1">
      <alignment horizontal="right" vertical="center" wrapText="1"/>
    </xf>
    <xf numFmtId="0" fontId="7" fillId="0" borderId="33" xfId="0" applyFont="1" applyBorder="1" applyAlignment="1">
      <alignment horizontal="right" vertical="center" wrapText="1"/>
    </xf>
    <xf numFmtId="0" fontId="7" fillId="0" borderId="34" xfId="0" applyFont="1" applyBorder="1" applyAlignment="1">
      <alignment horizontal="right" vertical="center" wrapText="1"/>
    </xf>
    <xf numFmtId="0" fontId="7" fillId="0" borderId="36" xfId="0" applyFont="1" applyBorder="1" applyAlignment="1">
      <alignment horizontal="right" vertical="center" wrapText="1"/>
    </xf>
    <xf numFmtId="0" fontId="7" fillId="0" borderId="37" xfId="0" applyFont="1" applyBorder="1" applyAlignment="1">
      <alignment horizontal="right" vertical="center" wrapText="1"/>
    </xf>
    <xf numFmtId="0" fontId="7" fillId="0" borderId="38" xfId="0" applyFont="1" applyBorder="1" applyAlignment="1">
      <alignment horizontal="right" vertical="center" wrapText="1"/>
    </xf>
    <xf numFmtId="164" fontId="7" fillId="2" borderId="32" xfId="0" applyNumberFormat="1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left"/>
    </xf>
    <xf numFmtId="0" fontId="7" fillId="2" borderId="15" xfId="0" applyFont="1" applyFill="1" applyBorder="1" applyAlignment="1">
      <alignment horizontal="left"/>
    </xf>
    <xf numFmtId="3" fontId="7" fillId="2" borderId="13" xfId="0" applyNumberFormat="1" applyFont="1" applyFill="1" applyBorder="1" applyAlignment="1">
      <alignment horizontal="center"/>
    </xf>
    <xf numFmtId="3" fontId="7" fillId="2" borderId="15" xfId="0" applyNumberFormat="1" applyFont="1" applyFill="1" applyBorder="1" applyAlignment="1">
      <alignment horizontal="center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164" fontId="7" fillId="2" borderId="35" xfId="1" applyNumberFormat="1" applyFont="1" applyFill="1" applyBorder="1" applyAlignment="1">
      <alignment horizontal="center" vertical="center" wrapText="1"/>
    </xf>
    <xf numFmtId="164" fontId="7" fillId="2" borderId="39" xfId="1" applyNumberFormat="1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164" fontId="7" fillId="2" borderId="35" xfId="0" applyNumberFormat="1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 wrapText="1"/>
    </xf>
    <xf numFmtId="164" fontId="7" fillId="2" borderId="32" xfId="1" applyNumberFormat="1" applyFont="1" applyFill="1" applyBorder="1" applyAlignment="1">
      <alignment horizontal="center" vertical="center"/>
    </xf>
    <xf numFmtId="164" fontId="7" fillId="2" borderId="34" xfId="1" applyNumberFormat="1" applyFont="1" applyFill="1" applyBorder="1" applyAlignment="1">
      <alignment horizontal="center" vertical="center"/>
    </xf>
    <xf numFmtId="164" fontId="7" fillId="2" borderId="36" xfId="1" applyNumberFormat="1" applyFont="1" applyFill="1" applyBorder="1" applyAlignment="1">
      <alignment horizontal="center" vertical="center"/>
    </xf>
    <xf numFmtId="164" fontId="7" fillId="2" borderId="38" xfId="1" applyNumberFormat="1" applyFont="1" applyFill="1" applyBorder="1" applyAlignment="1">
      <alignment horizontal="center" vertical="center"/>
    </xf>
    <xf numFmtId="0" fontId="7" fillId="0" borderId="13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7" fillId="2" borderId="24" xfId="0" applyFont="1" applyFill="1" applyBorder="1" applyAlignment="1">
      <alignment horizontal="left"/>
    </xf>
    <xf numFmtId="9" fontId="5" fillId="2" borderId="24" xfId="0" applyNumberFormat="1" applyFont="1" applyFill="1" applyBorder="1" applyAlignment="1">
      <alignment horizontal="right"/>
    </xf>
    <xf numFmtId="0" fontId="5" fillId="2" borderId="24" xfId="0" applyFont="1" applyFill="1" applyBorder="1" applyAlignment="1">
      <alignment horizontal="right"/>
    </xf>
    <xf numFmtId="0" fontId="7" fillId="2" borderId="25" xfId="0" applyFont="1" applyFill="1" applyBorder="1" applyAlignment="1">
      <alignment horizontal="center"/>
    </xf>
    <xf numFmtId="0" fontId="7" fillId="2" borderId="30" xfId="0" applyFont="1" applyFill="1" applyBorder="1" applyAlignment="1">
      <alignment horizontal="center"/>
    </xf>
    <xf numFmtId="0" fontId="7" fillId="2" borderId="31" xfId="0" applyFont="1" applyFill="1" applyBorder="1" applyAlignment="1">
      <alignment horizontal="center"/>
    </xf>
    <xf numFmtId="164" fontId="5" fillId="2" borderId="24" xfId="1" applyNumberFormat="1" applyFont="1" applyFill="1" applyBorder="1" applyAlignment="1">
      <alignment horizontal="right"/>
    </xf>
    <xf numFmtId="0" fontId="7" fillId="0" borderId="25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2" borderId="25" xfId="0" applyFont="1" applyFill="1" applyBorder="1" applyAlignment="1">
      <alignment horizontal="left"/>
    </xf>
    <xf numFmtId="0" fontId="7" fillId="2" borderId="31" xfId="0" applyFont="1" applyFill="1" applyBorder="1" applyAlignment="1">
      <alignment horizontal="left"/>
    </xf>
    <xf numFmtId="3" fontId="7" fillId="2" borderId="25" xfId="0" applyNumberFormat="1" applyFont="1" applyFill="1" applyBorder="1" applyAlignment="1">
      <alignment horizontal="left"/>
    </xf>
    <xf numFmtId="3" fontId="7" fillId="2" borderId="31" xfId="0" applyNumberFormat="1" applyFont="1" applyFill="1" applyBorder="1" applyAlignment="1">
      <alignment horizontal="left"/>
    </xf>
    <xf numFmtId="164" fontId="5" fillId="2" borderId="25" xfId="1" applyNumberFormat="1" applyFont="1" applyFill="1" applyBorder="1" applyAlignment="1">
      <alignment horizontal="right"/>
    </xf>
    <xf numFmtId="164" fontId="5" fillId="2" borderId="30" xfId="1" applyNumberFormat="1" applyFont="1" applyFill="1" applyBorder="1" applyAlignment="1">
      <alignment horizontal="right"/>
    </xf>
    <xf numFmtId="164" fontId="5" fillId="2" borderId="31" xfId="1" applyNumberFormat="1" applyFont="1" applyFill="1" applyBorder="1" applyAlignment="1">
      <alignment horizontal="right"/>
    </xf>
    <xf numFmtId="0" fontId="7" fillId="0" borderId="7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7" fillId="2" borderId="0" xfId="0" applyFont="1" applyFill="1" applyBorder="1" applyAlignment="1">
      <alignment horizontal="left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3" fontId="7" fillId="2" borderId="20" xfId="0" applyNumberFormat="1" applyFont="1" applyFill="1" applyBorder="1" applyAlignment="1">
      <alignment horizontal="center" vertical="center"/>
    </xf>
    <xf numFmtId="3" fontId="7" fillId="2" borderId="21" xfId="0" applyNumberFormat="1" applyFont="1" applyFill="1" applyBorder="1" applyAlignment="1">
      <alignment horizontal="center" vertical="center"/>
    </xf>
    <xf numFmtId="3" fontId="7" fillId="2" borderId="22" xfId="0" applyNumberFormat="1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/>
    </xf>
    <xf numFmtId="0" fontId="8" fillId="2" borderId="46" xfId="0" applyFont="1" applyFill="1" applyBorder="1" applyAlignment="1">
      <alignment horizontal="center"/>
    </xf>
    <xf numFmtId="0" fontId="8" fillId="2" borderId="47" xfId="0" applyFont="1" applyFill="1" applyBorder="1" applyAlignment="1">
      <alignment horizontal="center"/>
    </xf>
    <xf numFmtId="0" fontId="8" fillId="2" borderId="40" xfId="0" applyNumberFormat="1" applyFont="1" applyFill="1" applyBorder="1" applyAlignment="1" applyProtection="1">
      <alignment horizontal="center"/>
      <protection locked="0"/>
    </xf>
    <xf numFmtId="49" fontId="8" fillId="2" borderId="41" xfId="0" applyNumberFormat="1" applyFont="1" applyFill="1" applyBorder="1" applyAlignment="1" applyProtection="1">
      <alignment horizontal="center"/>
      <protection locked="0"/>
    </xf>
    <xf numFmtId="49" fontId="8" fillId="2" borderId="42" xfId="0" applyNumberFormat="1" applyFont="1" applyFill="1" applyBorder="1" applyAlignment="1" applyProtection="1">
      <alignment horizontal="center"/>
      <protection locked="0"/>
    </xf>
    <xf numFmtId="3" fontId="8" fillId="2" borderId="48" xfId="0" applyNumberFormat="1" applyFont="1" applyFill="1" applyBorder="1" applyAlignment="1">
      <alignment horizontal="center"/>
    </xf>
    <xf numFmtId="3" fontId="8" fillId="2" borderId="49" xfId="0" applyNumberFormat="1" applyFont="1" applyFill="1" applyBorder="1" applyAlignment="1">
      <alignment horizontal="center"/>
    </xf>
    <xf numFmtId="3" fontId="8" fillId="2" borderId="50" xfId="0" applyNumberFormat="1" applyFont="1" applyFill="1" applyBorder="1" applyAlignment="1">
      <alignment horizontal="center"/>
    </xf>
    <xf numFmtId="3" fontId="11" fillId="2" borderId="48" xfId="0" applyNumberFormat="1" applyFont="1" applyFill="1" applyBorder="1" applyAlignment="1">
      <alignment horizontal="center"/>
    </xf>
    <xf numFmtId="3" fontId="11" fillId="2" borderId="49" xfId="0" applyNumberFormat="1" applyFont="1" applyFill="1" applyBorder="1" applyAlignment="1">
      <alignment horizontal="center"/>
    </xf>
    <xf numFmtId="3" fontId="8" fillId="2" borderId="48" xfId="1" applyNumberFormat="1" applyFont="1" applyFill="1" applyBorder="1" applyAlignment="1">
      <alignment horizontal="center"/>
    </xf>
    <xf numFmtId="3" fontId="8" fillId="2" borderId="50" xfId="1" applyNumberFormat="1" applyFont="1" applyFill="1" applyBorder="1" applyAlignment="1">
      <alignment horizontal="center"/>
    </xf>
    <xf numFmtId="164" fontId="11" fillId="2" borderId="49" xfId="0" applyNumberFormat="1" applyFont="1" applyFill="1" applyBorder="1" applyAlignment="1">
      <alignment horizontal="center"/>
    </xf>
    <xf numFmtId="0" fontId="11" fillId="2" borderId="50" xfId="0" applyFont="1" applyFill="1" applyBorder="1" applyAlignment="1">
      <alignment horizontal="center"/>
    </xf>
    <xf numFmtId="0" fontId="8" fillId="2" borderId="40" xfId="0" applyFont="1" applyFill="1" applyBorder="1" applyAlignment="1">
      <alignment horizontal="center"/>
    </xf>
    <xf numFmtId="0" fontId="8" fillId="2" borderId="41" xfId="0" applyFont="1" applyFill="1" applyBorder="1" applyAlignment="1">
      <alignment horizontal="center"/>
    </xf>
    <xf numFmtId="0" fontId="8" fillId="2" borderId="42" xfId="0" applyFont="1" applyFill="1" applyBorder="1" applyAlignment="1">
      <alignment horizontal="center"/>
    </xf>
    <xf numFmtId="0" fontId="8" fillId="2" borderId="43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44" xfId="0" applyFont="1" applyFill="1" applyBorder="1" applyAlignment="1">
      <alignment horizontal="center"/>
    </xf>
    <xf numFmtId="0" fontId="11" fillId="2" borderId="43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44" xfId="0" applyFont="1" applyFill="1" applyBorder="1" applyAlignment="1">
      <alignment horizontal="center"/>
    </xf>
    <xf numFmtId="49" fontId="9" fillId="0" borderId="55" xfId="0" applyNumberFormat="1" applyFont="1" applyFill="1" applyBorder="1" applyAlignment="1">
      <alignment horizontal="center"/>
    </xf>
    <xf numFmtId="3" fontId="13" fillId="0" borderId="24" xfId="0" applyNumberFormat="1" applyFont="1" applyBorder="1" applyAlignment="1">
      <alignment horizontal="left"/>
    </xf>
    <xf numFmtId="10" fontId="9" fillId="0" borderId="24" xfId="0" applyNumberFormat="1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10" fontId="9" fillId="0" borderId="24" xfId="0" applyNumberFormat="1" applyFont="1" applyBorder="1" applyAlignment="1">
      <alignment horizontal="right"/>
    </xf>
    <xf numFmtId="0" fontId="13" fillId="0" borderId="32" xfId="0" applyFont="1" applyBorder="1" applyAlignment="1">
      <alignment horizontal="right" vertical="center" wrapText="1"/>
    </xf>
    <xf numFmtId="0" fontId="13" fillId="0" borderId="33" xfId="0" applyFont="1" applyBorder="1" applyAlignment="1">
      <alignment horizontal="right" vertical="center" wrapText="1"/>
    </xf>
    <xf numFmtId="0" fontId="13" fillId="0" borderId="34" xfId="0" applyFont="1" applyBorder="1" applyAlignment="1">
      <alignment horizontal="right" vertical="center" wrapText="1"/>
    </xf>
    <xf numFmtId="0" fontId="13" fillId="0" borderId="36" xfId="0" applyFont="1" applyBorder="1" applyAlignment="1">
      <alignment horizontal="right" vertical="center" wrapText="1"/>
    </xf>
    <xf numFmtId="0" fontId="13" fillId="0" borderId="37" xfId="0" applyFont="1" applyBorder="1" applyAlignment="1">
      <alignment horizontal="right" vertical="center" wrapText="1"/>
    </xf>
    <xf numFmtId="0" fontId="13" fillId="0" borderId="38" xfId="0" applyFont="1" applyBorder="1" applyAlignment="1">
      <alignment horizontal="right" vertical="center" wrapText="1"/>
    </xf>
    <xf numFmtId="164" fontId="13" fillId="0" borderId="32" xfId="0" applyNumberFormat="1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left"/>
    </xf>
    <xf numFmtId="0" fontId="13" fillId="0" borderId="15" xfId="0" applyFont="1" applyBorder="1" applyAlignment="1">
      <alignment horizontal="left"/>
    </xf>
    <xf numFmtId="3" fontId="13" fillId="0" borderId="13" xfId="0" applyNumberFormat="1" applyFont="1" applyBorder="1" applyAlignment="1">
      <alignment horizontal="center"/>
    </xf>
    <xf numFmtId="3" fontId="13" fillId="0" borderId="15" xfId="0" applyNumberFormat="1" applyFont="1" applyBorder="1" applyAlignment="1">
      <alignment horizontal="center"/>
    </xf>
    <xf numFmtId="0" fontId="13" fillId="0" borderId="32" xfId="0" applyFont="1" applyBorder="1" applyAlignment="1">
      <alignment horizontal="center" vertical="center" wrapText="1"/>
    </xf>
    <xf numFmtId="164" fontId="13" fillId="0" borderId="35" xfId="1" applyNumberFormat="1" applyFont="1" applyBorder="1" applyAlignment="1">
      <alignment horizontal="center" vertical="center" wrapText="1"/>
    </xf>
    <xf numFmtId="164" fontId="13" fillId="0" borderId="39" xfId="1" applyNumberFormat="1" applyFont="1" applyBorder="1" applyAlignment="1">
      <alignment horizontal="center" vertical="center" wrapText="1"/>
    </xf>
    <xf numFmtId="164" fontId="13" fillId="0" borderId="35" xfId="0" applyNumberFormat="1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164" fontId="13" fillId="0" borderId="32" xfId="1" applyNumberFormat="1" applyFont="1" applyBorder="1" applyAlignment="1">
      <alignment horizontal="center" vertical="center"/>
    </xf>
    <xf numFmtId="164" fontId="13" fillId="0" borderId="34" xfId="1" applyNumberFormat="1" applyFont="1" applyBorder="1" applyAlignment="1">
      <alignment horizontal="center" vertical="center"/>
    </xf>
    <xf numFmtId="164" fontId="13" fillId="0" borderId="36" xfId="1" applyNumberFormat="1" applyFont="1" applyBorder="1" applyAlignment="1">
      <alignment horizontal="center" vertical="center"/>
    </xf>
    <xf numFmtId="164" fontId="13" fillId="0" borderId="38" xfId="1" applyNumberFormat="1" applyFont="1" applyBorder="1" applyAlignment="1">
      <alignment horizontal="center" vertical="center"/>
    </xf>
    <xf numFmtId="0" fontId="13" fillId="0" borderId="14" xfId="0" applyFont="1" applyBorder="1" applyAlignment="1">
      <alignment horizontal="left"/>
    </xf>
    <xf numFmtId="0" fontId="13" fillId="0" borderId="24" xfId="0" applyFont="1" applyBorder="1" applyAlignment="1">
      <alignment horizontal="left"/>
    </xf>
    <xf numFmtId="9" fontId="9" fillId="0" borderId="24" xfId="0" applyNumberFormat="1" applyFont="1" applyBorder="1" applyAlignment="1">
      <alignment horizontal="right"/>
    </xf>
    <xf numFmtId="0" fontId="9" fillId="0" borderId="24" xfId="0" applyFont="1" applyBorder="1" applyAlignment="1">
      <alignment horizontal="right"/>
    </xf>
    <xf numFmtId="0" fontId="13" fillId="0" borderId="25" xfId="0" applyFont="1" applyBorder="1" applyAlignment="1">
      <alignment horizontal="center"/>
    </xf>
    <xf numFmtId="0" fontId="13" fillId="0" borderId="30" xfId="0" applyFont="1" applyBorder="1" applyAlignment="1">
      <alignment horizontal="center"/>
    </xf>
    <xf numFmtId="0" fontId="13" fillId="0" borderId="31" xfId="0" applyFont="1" applyBorder="1" applyAlignment="1">
      <alignment horizontal="center"/>
    </xf>
    <xf numFmtId="164" fontId="9" fillId="0" borderId="24" xfId="1" applyNumberFormat="1" applyFont="1" applyBorder="1" applyAlignment="1">
      <alignment horizontal="right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25" xfId="0" applyFont="1" applyBorder="1" applyAlignment="1">
      <alignment horizontal="left"/>
    </xf>
    <xf numFmtId="0" fontId="13" fillId="0" borderId="31" xfId="0" applyFont="1" applyBorder="1" applyAlignment="1">
      <alignment horizontal="left"/>
    </xf>
    <xf numFmtId="3" fontId="13" fillId="0" borderId="25" xfId="0" applyNumberFormat="1" applyFont="1" applyBorder="1" applyAlignment="1">
      <alignment horizontal="left"/>
    </xf>
    <xf numFmtId="3" fontId="13" fillId="0" borderId="31" xfId="0" applyNumberFormat="1" applyFont="1" applyBorder="1" applyAlignment="1">
      <alignment horizontal="left"/>
    </xf>
    <xf numFmtId="164" fontId="9" fillId="0" borderId="25" xfId="1" applyNumberFormat="1" applyFont="1" applyBorder="1" applyAlignment="1">
      <alignment horizontal="right"/>
    </xf>
    <xf numFmtId="164" fontId="9" fillId="0" borderId="30" xfId="1" applyNumberFormat="1" applyFont="1" applyBorder="1" applyAlignment="1">
      <alignment horizontal="right"/>
    </xf>
    <xf numFmtId="164" fontId="9" fillId="0" borderId="31" xfId="1" applyNumberFormat="1" applyFont="1" applyBorder="1" applyAlignment="1">
      <alignment horizontal="right"/>
    </xf>
    <xf numFmtId="0" fontId="13" fillId="0" borderId="7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7" xfId="0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0" fontId="13" fillId="0" borderId="0" xfId="0" applyFont="1" applyBorder="1" applyAlignment="1">
      <alignment horizontal="left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3" fontId="13" fillId="0" borderId="20" xfId="0" applyNumberFormat="1" applyFont="1" applyBorder="1" applyAlignment="1">
      <alignment horizontal="center" vertical="center"/>
    </xf>
    <xf numFmtId="3" fontId="13" fillId="0" borderId="21" xfId="0" applyNumberFormat="1" applyFont="1" applyBorder="1" applyAlignment="1">
      <alignment horizontal="center" vertical="center"/>
    </xf>
    <xf numFmtId="3" fontId="13" fillId="0" borderId="22" xfId="0" applyNumberFormat="1" applyFont="1" applyBorder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48"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border diagonalUp="0" diagonalDown="0" outline="0">
        <left style="thick">
          <color indexed="64"/>
        </left>
        <right/>
        <top style="thick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border diagonalUp="0" diagonalDown="0" outline="0">
        <left style="thick">
          <color indexed="64"/>
        </left>
        <right style="thick">
          <color indexed="64"/>
        </right>
        <top style="thick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border diagonalUp="0" diagonalDown="0" outline="0">
        <left style="thick">
          <color indexed="64"/>
        </left>
        <right style="thick">
          <color indexed="64"/>
        </right>
        <top style="thick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border diagonalUp="0" diagonalDown="0" outline="0">
        <left style="thick">
          <color indexed="64"/>
        </left>
        <right style="thick">
          <color indexed="64"/>
        </right>
        <top style="thick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border diagonalUp="0" diagonalDown="0" outline="0">
        <left style="thick">
          <color indexed="64"/>
        </left>
        <right style="thick">
          <color indexed="64"/>
        </right>
        <top style="thick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border diagonalUp="0" diagonalDown="0" outline="0">
        <left style="thick">
          <color indexed="64"/>
        </left>
        <right style="thick">
          <color indexed="64"/>
        </right>
        <top style="thick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border diagonalUp="0" diagonalDown="0" outline="0">
        <left style="thick">
          <color indexed="64"/>
        </left>
        <right style="thick">
          <color indexed="64"/>
        </right>
        <top style="thick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border diagonalUp="0" diagonalDown="0" outline="0">
        <left style="thick">
          <color indexed="64"/>
        </left>
        <right style="thick">
          <color indexed="64"/>
        </right>
        <top style="thick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border diagonalUp="0" diagonalDown="0" outline="0">
        <left style="thick">
          <color indexed="64"/>
        </left>
        <right style="thick">
          <color indexed="64"/>
        </right>
        <top style="thick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border diagonalUp="0" diagonalDown="0" outline="0">
        <left style="thick">
          <color indexed="64"/>
        </left>
        <right style="thick">
          <color indexed="64"/>
        </right>
        <top style="thick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border diagonalUp="0" diagonalDown="0" outline="0">
        <left style="thick">
          <color indexed="64"/>
        </left>
        <right style="thick">
          <color indexed="64"/>
        </right>
        <top style="thick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border diagonalUp="0" diagonalDown="0" outline="0">
        <left style="thick">
          <color indexed="64"/>
        </left>
        <right style="thick">
          <color indexed="64"/>
        </right>
        <top style="thick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border diagonalUp="0" diagonalDown="0" outline="0">
        <left style="thick">
          <color indexed="64"/>
        </left>
        <right style="thick">
          <color indexed="64"/>
        </right>
        <top style="thick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border diagonalUp="0" diagonalDown="0" outline="0">
        <left style="thick">
          <color indexed="64"/>
        </left>
        <right style="thick">
          <color indexed="64"/>
        </right>
        <top style="thick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border diagonalUp="0" diagonalDown="0" outline="0">
        <left style="thick">
          <color indexed="64"/>
        </left>
        <right style="thick">
          <color indexed="64"/>
        </right>
        <top style="thick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border diagonalUp="0" diagonalDown="0" outline="0">
        <left style="thick">
          <color indexed="64"/>
        </left>
        <right style="thick">
          <color indexed="64"/>
        </right>
        <top style="thick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border diagonalUp="0" diagonalDown="0" outline="0">
        <left style="thick">
          <color indexed="64"/>
        </left>
        <right style="thick">
          <color indexed="64"/>
        </right>
        <top style="thick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 style="thick">
          <color indexed="64"/>
        </right>
        <top style="thick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 style="thick">
          <color indexed="64"/>
        </right>
        <top style="thick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 style="thick">
          <color indexed="64"/>
        </right>
        <top style="thick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 style="thick">
          <color indexed="64"/>
        </right>
        <top style="thick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border diagonalUp="0" diagonalDown="0" outline="0">
        <left style="thick">
          <color indexed="64"/>
        </left>
        <right style="thick">
          <color indexed="64"/>
        </right>
        <top style="thick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ck">
          <color indexed="64"/>
        </right>
        <top style="thick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ck">
          <color indexed="64"/>
        </left>
        <right style="thick">
          <color indexed="64"/>
        </right>
        <top style="thick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ck">
          <color indexed="64"/>
        </left>
        <right style="thick">
          <color indexed="64"/>
        </right>
        <top style="thick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0" formatCode="@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right style="thick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</dxf>
    <dxf>
      <border outline="0">
        <bottom style="thick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ck">
          <color indexed="64"/>
        </left>
        <right style="thick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LADYS%20PERSONAL/TALLE%20R%20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 EMPLEADOS"/>
      <sheetName val="Nómina"/>
      <sheetName val="COLILLA DE PAGO"/>
      <sheetName val="14"/>
      <sheetName val="15"/>
      <sheetName val="16"/>
      <sheetName val="17"/>
      <sheetName val="18"/>
    </sheetNames>
    <sheetDataSet>
      <sheetData sheetId="0">
        <row r="1">
          <cell r="A1" t="str">
            <v>Codigo del 
Empleado</v>
          </cell>
          <cell r="B1" t="str">
            <v>Nombre del Empleado</v>
          </cell>
          <cell r="C1" t="str">
            <v>Cargo del Empleado</v>
          </cell>
          <cell r="D1" t="str">
            <v>Salario Basico</v>
          </cell>
          <cell r="E1" t="str">
            <v>Salario Diario</v>
          </cell>
        </row>
        <row r="4">
          <cell r="A4" t="str">
            <v>0001</v>
          </cell>
          <cell r="B4" t="str">
            <v>Ospina Borja Pedro Nel</v>
          </cell>
          <cell r="C4" t="str">
            <v>Digitador</v>
          </cell>
          <cell r="D4">
            <v>900000</v>
          </cell>
          <cell r="E4">
            <v>30000</v>
          </cell>
        </row>
        <row r="5">
          <cell r="A5" t="str">
            <v>0002</v>
          </cell>
          <cell r="B5" t="str">
            <v>Andrés Felipe Ramírez</v>
          </cell>
          <cell r="C5" t="str">
            <v>Vendedor</v>
          </cell>
          <cell r="D5">
            <v>850000</v>
          </cell>
          <cell r="E5">
            <v>28333.333333333332</v>
          </cell>
        </row>
        <row r="6">
          <cell r="A6" t="str">
            <v>0003</v>
          </cell>
          <cell r="B6" t="str">
            <v>Ángela María Hernández</v>
          </cell>
          <cell r="C6" t="str">
            <v>Auxiliar Contable</v>
          </cell>
          <cell r="D6">
            <v>1100000</v>
          </cell>
          <cell r="E6">
            <v>36666.666666666664</v>
          </cell>
        </row>
        <row r="7">
          <cell r="A7" t="str">
            <v>0004</v>
          </cell>
          <cell r="B7" t="str">
            <v>Camilo Ceballos</v>
          </cell>
          <cell r="C7" t="str">
            <v>Operario</v>
          </cell>
          <cell r="D7">
            <v>781242</v>
          </cell>
          <cell r="E7">
            <v>26041.4</v>
          </cell>
        </row>
        <row r="8">
          <cell r="A8" t="str">
            <v>0005</v>
          </cell>
          <cell r="B8" t="str">
            <v>Carlos Andrés Giraldo</v>
          </cell>
          <cell r="C8" t="str">
            <v>Secretaria</v>
          </cell>
          <cell r="D8">
            <v>950000</v>
          </cell>
          <cell r="E8">
            <v>31666.666666666668</v>
          </cell>
        </row>
        <row r="9">
          <cell r="A9" t="str">
            <v>0006</v>
          </cell>
          <cell r="B9" t="str">
            <v>Carlos Mario Quiroz</v>
          </cell>
          <cell r="C9" t="str">
            <v>Vendedor</v>
          </cell>
          <cell r="D9">
            <v>850000</v>
          </cell>
          <cell r="E9">
            <v>28333.333333333332</v>
          </cell>
        </row>
        <row r="10">
          <cell r="A10" t="str">
            <v>0007</v>
          </cell>
          <cell r="B10" t="str">
            <v>Carolina Rodríguez</v>
          </cell>
          <cell r="C10" t="str">
            <v>Aseadora</v>
          </cell>
          <cell r="D10">
            <v>781242</v>
          </cell>
          <cell r="E10">
            <v>26041.4</v>
          </cell>
        </row>
        <row r="11">
          <cell r="A11" t="str">
            <v>0008</v>
          </cell>
          <cell r="B11" t="str">
            <v>Claudia González</v>
          </cell>
          <cell r="C11" t="str">
            <v>Vendedor</v>
          </cell>
          <cell r="D11">
            <v>850000</v>
          </cell>
          <cell r="E11">
            <v>28333.333333333332</v>
          </cell>
        </row>
        <row r="12">
          <cell r="A12" t="str">
            <v>0009</v>
          </cell>
          <cell r="B12" t="str">
            <v>Diana López</v>
          </cell>
          <cell r="C12" t="str">
            <v>Secretaria</v>
          </cell>
          <cell r="D12">
            <v>950000</v>
          </cell>
          <cell r="E12">
            <v>31666.666666666668</v>
          </cell>
        </row>
        <row r="13">
          <cell r="A13" t="str">
            <v>0010</v>
          </cell>
          <cell r="B13" t="str">
            <v>Didier Alejandro Sánchez</v>
          </cell>
          <cell r="C13" t="str">
            <v>Digitador</v>
          </cell>
          <cell r="D13">
            <v>900000</v>
          </cell>
          <cell r="E13">
            <v>30000</v>
          </cell>
        </row>
        <row r="14">
          <cell r="A14" t="str">
            <v>0011</v>
          </cell>
          <cell r="B14" t="str">
            <v>Dora Luz Montoya</v>
          </cell>
          <cell r="C14" t="str">
            <v>Auxiliar Contable</v>
          </cell>
          <cell r="D14">
            <v>1100000</v>
          </cell>
          <cell r="E14">
            <v>36666.666666666664</v>
          </cell>
        </row>
        <row r="15">
          <cell r="A15" t="str">
            <v>0012</v>
          </cell>
          <cell r="B15" t="str">
            <v>Doralba Galeano</v>
          </cell>
          <cell r="C15" t="str">
            <v>Operaria</v>
          </cell>
          <cell r="D15">
            <v>781242</v>
          </cell>
          <cell r="E15">
            <v>26041.4</v>
          </cell>
        </row>
        <row r="16">
          <cell r="A16" t="str">
            <v>0013</v>
          </cell>
          <cell r="B16" t="str">
            <v>Eliana Marcela Aguirre</v>
          </cell>
          <cell r="C16" t="str">
            <v>Gerente</v>
          </cell>
          <cell r="D16">
            <v>9000000</v>
          </cell>
          <cell r="E16">
            <v>300000</v>
          </cell>
        </row>
        <row r="17">
          <cell r="A17" t="str">
            <v>0014</v>
          </cell>
          <cell r="B17" t="str">
            <v>Francy Ruby Román</v>
          </cell>
          <cell r="C17" t="str">
            <v>Auxiliar Contable</v>
          </cell>
          <cell r="D17">
            <v>1100000</v>
          </cell>
          <cell r="E17">
            <v>36666.666666666664</v>
          </cell>
        </row>
        <row r="18">
          <cell r="A18" t="str">
            <v>0015</v>
          </cell>
          <cell r="B18" t="str">
            <v>Hernán Darío Hernández</v>
          </cell>
          <cell r="C18" t="str">
            <v>Vendedor</v>
          </cell>
          <cell r="D18">
            <v>850000</v>
          </cell>
          <cell r="E18">
            <v>28333.333333333332</v>
          </cell>
        </row>
        <row r="19">
          <cell r="A19" t="str">
            <v>0016</v>
          </cell>
          <cell r="B19" t="str">
            <v>Leidy Maritza Herrera</v>
          </cell>
          <cell r="C19" t="str">
            <v>Operaria</v>
          </cell>
          <cell r="D19">
            <v>781242</v>
          </cell>
          <cell r="E19">
            <v>26041.4</v>
          </cell>
        </row>
        <row r="20">
          <cell r="A20" t="str">
            <v>0017</v>
          </cell>
          <cell r="B20" t="str">
            <v>Leidy Rosalía Galvis</v>
          </cell>
          <cell r="C20" t="str">
            <v>Auxiliar Contable</v>
          </cell>
          <cell r="D20">
            <v>1100000</v>
          </cell>
          <cell r="E20">
            <v>36666.666666666664</v>
          </cell>
        </row>
        <row r="21">
          <cell r="A21" t="str">
            <v>0018</v>
          </cell>
          <cell r="B21" t="str">
            <v>Luis Fernando Vanegas</v>
          </cell>
          <cell r="C21" t="str">
            <v>Digitador</v>
          </cell>
          <cell r="D21">
            <v>900000</v>
          </cell>
          <cell r="E21">
            <v>30000</v>
          </cell>
        </row>
        <row r="22">
          <cell r="A22" t="str">
            <v>0019</v>
          </cell>
          <cell r="B22" t="str">
            <v>Liliana Ríos</v>
          </cell>
          <cell r="C22" t="str">
            <v>Vendedor</v>
          </cell>
          <cell r="D22">
            <v>850000</v>
          </cell>
          <cell r="E22">
            <v>28333.333333333332</v>
          </cell>
        </row>
        <row r="23">
          <cell r="A23" t="str">
            <v>0020</v>
          </cell>
          <cell r="B23" t="str">
            <v>Luz Enith Betancur</v>
          </cell>
          <cell r="C23" t="str">
            <v>Auxiliar Contable</v>
          </cell>
          <cell r="D23">
            <v>1100000</v>
          </cell>
          <cell r="E23">
            <v>36666.666666666664</v>
          </cell>
        </row>
        <row r="24">
          <cell r="A24" t="str">
            <v>0021</v>
          </cell>
          <cell r="B24" t="str">
            <v>Maricela López</v>
          </cell>
          <cell r="C24" t="str">
            <v>Operaria</v>
          </cell>
          <cell r="D24">
            <v>781242</v>
          </cell>
          <cell r="E24">
            <v>26041.4</v>
          </cell>
        </row>
        <row r="25">
          <cell r="A25" t="str">
            <v>0022</v>
          </cell>
          <cell r="B25" t="str">
            <v>Martha Deisy Ceballos</v>
          </cell>
          <cell r="C25" t="str">
            <v>Digitadora</v>
          </cell>
          <cell r="D25">
            <v>900000</v>
          </cell>
          <cell r="E25">
            <v>30000</v>
          </cell>
        </row>
        <row r="26">
          <cell r="A26" t="str">
            <v>0023</v>
          </cell>
          <cell r="B26" t="str">
            <v>Mauricio Alzate</v>
          </cell>
          <cell r="C26" t="str">
            <v>Operario</v>
          </cell>
          <cell r="D26">
            <v>781242</v>
          </cell>
          <cell r="E26">
            <v>26041.4</v>
          </cell>
        </row>
        <row r="27">
          <cell r="A27" t="str">
            <v>0024</v>
          </cell>
          <cell r="B27" t="str">
            <v>Mónica Yurany Giraldo</v>
          </cell>
          <cell r="C27" t="str">
            <v>Secretaria</v>
          </cell>
          <cell r="D27">
            <v>950000</v>
          </cell>
          <cell r="E27">
            <v>31666.666666666668</v>
          </cell>
        </row>
        <row r="28">
          <cell r="A28" t="str">
            <v>0025</v>
          </cell>
          <cell r="B28" t="str">
            <v>Nayibet Galvis</v>
          </cell>
          <cell r="C28" t="str">
            <v>Operaria</v>
          </cell>
          <cell r="D28">
            <v>781242</v>
          </cell>
          <cell r="E28">
            <v>26041.4</v>
          </cell>
        </row>
        <row r="29">
          <cell r="A29" t="str">
            <v>0026</v>
          </cell>
          <cell r="B29" t="str">
            <v>Patricia Rodriguez</v>
          </cell>
          <cell r="C29" t="str">
            <v>Operaria</v>
          </cell>
          <cell r="D29">
            <v>781242</v>
          </cell>
          <cell r="E29">
            <v>26041.4</v>
          </cell>
        </row>
        <row r="30">
          <cell r="A30" t="str">
            <v>0027</v>
          </cell>
          <cell r="B30" t="str">
            <v>Sandra Marcela Rojas</v>
          </cell>
          <cell r="C30" t="str">
            <v>Operaria</v>
          </cell>
          <cell r="D30">
            <v>781242</v>
          </cell>
          <cell r="E30">
            <v>26041.4</v>
          </cell>
        </row>
        <row r="31">
          <cell r="A31" t="str">
            <v>0028</v>
          </cell>
          <cell r="B31" t="str">
            <v>Yeisón Fernando García</v>
          </cell>
          <cell r="C31" t="str">
            <v>Auxiliar Contable</v>
          </cell>
          <cell r="D31">
            <v>1100000</v>
          </cell>
          <cell r="E31">
            <v>36666.666666666664</v>
          </cell>
        </row>
        <row r="32">
          <cell r="A32" t="str">
            <v>0029</v>
          </cell>
          <cell r="B32" t="str">
            <v>Yohiner Tangarife</v>
          </cell>
          <cell r="C32" t="str">
            <v>Auxiliar Contable</v>
          </cell>
          <cell r="D32">
            <v>1100000</v>
          </cell>
          <cell r="E32">
            <v>36666.666666666664</v>
          </cell>
        </row>
        <row r="33">
          <cell r="A33" t="str">
            <v>0030</v>
          </cell>
          <cell r="B33" t="str">
            <v>Yuliana Cardona</v>
          </cell>
          <cell r="C33" t="str">
            <v>Digitadora</v>
          </cell>
          <cell r="D33">
            <v>900000</v>
          </cell>
          <cell r="E33">
            <v>30000</v>
          </cell>
        </row>
      </sheetData>
      <sheetData sheetId="1">
        <row r="4">
          <cell r="A4" t="str">
            <v>NÓMINA PARA EL PAGO DE SUELDOS</v>
          </cell>
        </row>
        <row r="6">
          <cell r="A6" t="str">
            <v xml:space="preserve">PERIODO DE PAGO DEL________01_____________ </v>
          </cell>
          <cell r="O6" t="str">
            <v>AL_______________31 DE OCTUBRE_______________________________________________</v>
          </cell>
        </row>
        <row r="8">
          <cell r="P8">
            <v>1562484</v>
          </cell>
          <cell r="R8">
            <v>3124968</v>
          </cell>
        </row>
        <row r="10">
          <cell r="A10" t="str">
            <v>CODIGO</v>
          </cell>
          <cell r="B10" t="str">
            <v xml:space="preserve">NOMBRE </v>
          </cell>
          <cell r="C10" t="str">
            <v>CARGO</v>
          </cell>
          <cell r="D10" t="str">
            <v>NÚMERO</v>
          </cell>
          <cell r="E10" t="str">
            <v>BÁSICO</v>
          </cell>
          <cell r="F10" t="str">
            <v xml:space="preserve">BÁSICO </v>
          </cell>
          <cell r="G10" t="str">
            <v>DEVENGADOS</v>
          </cell>
          <cell r="S10" t="str">
            <v xml:space="preserve">TOTAL
</v>
          </cell>
          <cell r="T10" t="str">
            <v xml:space="preserve">TOTAL
</v>
          </cell>
          <cell r="U10" t="str">
            <v>DEDUCCIONES</v>
          </cell>
          <cell r="Z10" t="str">
            <v>TOTAL</v>
          </cell>
          <cell r="AA10" t="str">
            <v>NETO</v>
          </cell>
        </row>
        <row r="11">
          <cell r="A11" t="str">
            <v>DEL</v>
          </cell>
          <cell r="B11" t="str">
            <v>DEL</v>
          </cell>
          <cell r="C11" t="str">
            <v xml:space="preserve">DEL </v>
          </cell>
          <cell r="D11" t="str">
            <v xml:space="preserve">DE </v>
          </cell>
          <cell r="G11" t="str">
            <v>NÚMERO DE HORAS EXTRAS</v>
          </cell>
          <cell r="K11" t="str">
            <v>VALOR DE HORAS EXTRAS</v>
          </cell>
          <cell r="O11" t="str">
            <v>TOTAL</v>
          </cell>
          <cell r="P11" t="str">
            <v>AUXILIO</v>
          </cell>
          <cell r="Q11" t="str">
            <v>VALOR</v>
          </cell>
          <cell r="R11" t="str">
            <v>VALOR</v>
          </cell>
          <cell r="U11" t="str">
            <v>APORTES</v>
          </cell>
          <cell r="X11" t="str">
            <v>VALOR</v>
          </cell>
          <cell r="Y11" t="str">
            <v>VALOR</v>
          </cell>
        </row>
        <row r="12">
          <cell r="A12" t="str">
            <v>EMPLEADO</v>
          </cell>
          <cell r="B12" t="str">
            <v>EMPLEADO2</v>
          </cell>
          <cell r="C12" t="str">
            <v>CARGO DEL EMPLEADO</v>
          </cell>
          <cell r="D12" t="str">
            <v>DÍAS</v>
          </cell>
          <cell r="E12" t="str">
            <v>DIARIO</v>
          </cell>
          <cell r="F12" t="str">
            <v>MENSUAL</v>
          </cell>
          <cell r="G12" t="str">
            <v>DIURNA</v>
          </cell>
          <cell r="H12" t="str">
            <v>NOCTURNA</v>
          </cell>
          <cell r="I12" t="str">
            <v>FESTIVA  DIURNA</v>
          </cell>
          <cell r="J12" t="str">
            <v>FESTIVA  NOCTURNA</v>
          </cell>
          <cell r="K12" t="str">
            <v>DIURNA3</v>
          </cell>
          <cell r="L12" t="str">
            <v>NOCTURNA4</v>
          </cell>
          <cell r="M12" t="str">
            <v>FESTIVA DIURNA</v>
          </cell>
          <cell r="N12" t="str">
            <v>FESTIVA NOCTURNA</v>
          </cell>
          <cell r="O12" t="str">
            <v>EXTRAS</v>
          </cell>
          <cell r="P12" t="str">
            <v>TRANSPORTE</v>
          </cell>
          <cell r="Q12" t="str">
            <v>COMISIÓN</v>
          </cell>
          <cell r="R12" t="str">
            <v>BONIFICACIÓN</v>
          </cell>
          <cell r="S12" t="str">
            <v>DEVENGADO</v>
          </cell>
          <cell r="T12" t="str">
            <v>DEVENGADO SIN AUXILIO</v>
          </cell>
          <cell r="U12" t="str">
            <v>EPS</v>
          </cell>
          <cell r="V12" t="str">
            <v>FP</v>
          </cell>
          <cell r="W12" t="str">
            <v>FS</v>
          </cell>
          <cell r="X12" t="str">
            <v>COOPERATIVA</v>
          </cell>
          <cell r="Y12" t="str">
            <v>SINDICATO</v>
          </cell>
          <cell r="Z12" t="str">
            <v>DEDUCCIONES</v>
          </cell>
          <cell r="AA12" t="str">
            <v>PAGADO</v>
          </cell>
        </row>
        <row r="13">
          <cell r="A13" t="str">
            <v>0001</v>
          </cell>
          <cell r="B13" t="str">
            <v>Ospina Borja Pedro Nel</v>
          </cell>
          <cell r="C13" t="str">
            <v>Digitador</v>
          </cell>
          <cell r="D13">
            <v>30</v>
          </cell>
          <cell r="E13">
            <v>30000</v>
          </cell>
          <cell r="F13">
            <v>900000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88200</v>
          </cell>
          <cell r="Q13">
            <v>0</v>
          </cell>
          <cell r="R13">
            <v>40000</v>
          </cell>
          <cell r="S13">
            <v>1028200</v>
          </cell>
          <cell r="T13">
            <v>940000</v>
          </cell>
          <cell r="U13">
            <v>37600</v>
          </cell>
          <cell r="V13">
            <v>37600</v>
          </cell>
          <cell r="W13">
            <v>0</v>
          </cell>
          <cell r="X13">
            <v>63000.000000000007</v>
          </cell>
          <cell r="Y13">
            <v>18000</v>
          </cell>
          <cell r="Z13">
            <v>156200</v>
          </cell>
          <cell r="AA13">
            <v>872000</v>
          </cell>
        </row>
        <row r="14">
          <cell r="A14" t="str">
            <v>0002</v>
          </cell>
          <cell r="B14" t="str">
            <v>Andrés Felipe Ramírez</v>
          </cell>
          <cell r="C14" t="str">
            <v>Vendedor</v>
          </cell>
          <cell r="D14">
            <v>30</v>
          </cell>
          <cell r="E14">
            <v>28333.333333333332</v>
          </cell>
          <cell r="F14">
            <v>850000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88200</v>
          </cell>
          <cell r="Q14">
            <v>59999.999999999993</v>
          </cell>
          <cell r="S14">
            <v>998200</v>
          </cell>
          <cell r="T14">
            <v>910000</v>
          </cell>
          <cell r="U14">
            <v>36400</v>
          </cell>
          <cell r="V14">
            <v>36400</v>
          </cell>
          <cell r="W14">
            <v>0</v>
          </cell>
          <cell r="X14">
            <v>59500.000000000007</v>
          </cell>
          <cell r="Y14">
            <v>17000</v>
          </cell>
          <cell r="Z14">
            <v>149300</v>
          </cell>
          <cell r="AA14">
            <v>848900</v>
          </cell>
        </row>
        <row r="15">
          <cell r="A15" t="str">
            <v>0003</v>
          </cell>
          <cell r="B15" t="str">
            <v>Ángela María Hernández</v>
          </cell>
          <cell r="C15" t="str">
            <v>Auxiliar Contable</v>
          </cell>
          <cell r="D15">
            <v>30</v>
          </cell>
          <cell r="E15">
            <v>36666.666666666664</v>
          </cell>
          <cell r="F15">
            <v>1100000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88200</v>
          </cell>
          <cell r="Q15">
            <v>0</v>
          </cell>
          <cell r="R15">
            <v>40000</v>
          </cell>
          <cell r="S15">
            <v>1228200</v>
          </cell>
          <cell r="T15">
            <v>1140000</v>
          </cell>
          <cell r="U15">
            <v>45600</v>
          </cell>
          <cell r="V15">
            <v>45600</v>
          </cell>
          <cell r="W15">
            <v>0</v>
          </cell>
          <cell r="X15">
            <v>110000</v>
          </cell>
          <cell r="Y15">
            <v>22000</v>
          </cell>
          <cell r="Z15">
            <v>223200</v>
          </cell>
          <cell r="AA15">
            <v>1005000</v>
          </cell>
        </row>
        <row r="16">
          <cell r="A16" t="str">
            <v>0004</v>
          </cell>
          <cell r="B16" t="str">
            <v>Camilo Ceballos</v>
          </cell>
          <cell r="C16" t="str">
            <v>Operario</v>
          </cell>
          <cell r="D16">
            <v>30</v>
          </cell>
          <cell r="E16">
            <v>26041.4</v>
          </cell>
          <cell r="F16">
            <v>781242</v>
          </cell>
          <cell r="G16">
            <v>5</v>
          </cell>
          <cell r="H16">
            <v>4</v>
          </cell>
          <cell r="I16">
            <v>2</v>
          </cell>
          <cell r="J16">
            <v>1</v>
          </cell>
          <cell r="K16">
            <v>20344.84375</v>
          </cell>
          <cell r="L16">
            <v>22786.225000000002</v>
          </cell>
          <cell r="M16">
            <v>14648.2875</v>
          </cell>
          <cell r="N16">
            <v>8951.7312500000007</v>
          </cell>
          <cell r="O16">
            <v>66731.087500000009</v>
          </cell>
          <cell r="P16">
            <v>88200</v>
          </cell>
          <cell r="Q16">
            <v>0</v>
          </cell>
          <cell r="R16">
            <v>1.4999999999999998E-6</v>
          </cell>
          <cell r="S16">
            <v>936173.08750150003</v>
          </cell>
          <cell r="T16">
            <v>847973.08750150003</v>
          </cell>
          <cell r="U16">
            <v>33918.923500060002</v>
          </cell>
          <cell r="V16">
            <v>33918.923500060002</v>
          </cell>
          <cell r="W16">
            <v>0</v>
          </cell>
          <cell r="X16">
            <v>31249.68</v>
          </cell>
          <cell r="Y16">
            <v>3906.21</v>
          </cell>
          <cell r="Z16">
            <v>102993.73700012</v>
          </cell>
          <cell r="AA16">
            <v>833179.35050138005</v>
          </cell>
        </row>
        <row r="17">
          <cell r="A17" t="str">
            <v>0005</v>
          </cell>
          <cell r="B17" t="str">
            <v>Carlos Andrés Giraldo</v>
          </cell>
          <cell r="C17" t="str">
            <v>Secretaria</v>
          </cell>
          <cell r="D17">
            <v>30</v>
          </cell>
          <cell r="E17">
            <v>31666.666666666668</v>
          </cell>
          <cell r="F17">
            <v>950000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88200</v>
          </cell>
          <cell r="Q17">
            <v>0</v>
          </cell>
          <cell r="R17">
            <v>40000</v>
          </cell>
          <cell r="S17">
            <v>1078200</v>
          </cell>
          <cell r="T17">
            <v>990000</v>
          </cell>
          <cell r="U17">
            <v>39600</v>
          </cell>
          <cell r="V17">
            <v>39600</v>
          </cell>
          <cell r="W17">
            <v>0</v>
          </cell>
          <cell r="X17">
            <v>66500</v>
          </cell>
          <cell r="Y17">
            <v>19000</v>
          </cell>
          <cell r="Z17">
            <v>164700</v>
          </cell>
          <cell r="AA17">
            <v>913500</v>
          </cell>
        </row>
        <row r="18">
          <cell r="A18" t="str">
            <v>0006</v>
          </cell>
          <cell r="B18" t="str">
            <v>Carlos Mario Quiroz</v>
          </cell>
          <cell r="C18" t="str">
            <v>Vendedor</v>
          </cell>
          <cell r="D18">
            <v>30</v>
          </cell>
          <cell r="E18">
            <v>28333.333333333332</v>
          </cell>
          <cell r="F18">
            <v>850000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88200</v>
          </cell>
          <cell r="Q18">
            <v>59999.999999999993</v>
          </cell>
          <cell r="R18">
            <v>0</v>
          </cell>
          <cell r="S18">
            <v>998200</v>
          </cell>
          <cell r="T18">
            <v>910000</v>
          </cell>
          <cell r="U18">
            <v>36400</v>
          </cell>
          <cell r="V18">
            <v>36400</v>
          </cell>
          <cell r="W18">
            <v>0</v>
          </cell>
          <cell r="X18">
            <v>59500.000000000007</v>
          </cell>
          <cell r="Y18">
            <v>17000</v>
          </cell>
          <cell r="Z18">
            <v>149300</v>
          </cell>
          <cell r="AA18">
            <v>848900</v>
          </cell>
        </row>
        <row r="19">
          <cell r="A19" t="str">
            <v>0007</v>
          </cell>
          <cell r="B19" t="str">
            <v>Carolina Rodríguez</v>
          </cell>
          <cell r="C19" t="str">
            <v>Aseadora</v>
          </cell>
          <cell r="D19">
            <v>30</v>
          </cell>
          <cell r="E19">
            <v>26041.4</v>
          </cell>
          <cell r="F19">
            <v>781242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88200</v>
          </cell>
          <cell r="Q19">
            <v>0</v>
          </cell>
          <cell r="R19">
            <v>0</v>
          </cell>
          <cell r="S19">
            <v>869442</v>
          </cell>
          <cell r="T19">
            <v>781242</v>
          </cell>
          <cell r="U19">
            <v>31249.68</v>
          </cell>
          <cell r="V19">
            <v>31249.68</v>
          </cell>
          <cell r="W19">
            <v>0</v>
          </cell>
          <cell r="X19">
            <v>31249.68</v>
          </cell>
          <cell r="Y19">
            <v>3906.21</v>
          </cell>
          <cell r="Z19">
            <v>97655.250000000015</v>
          </cell>
          <cell r="AA19">
            <v>771786.75</v>
          </cell>
        </row>
        <row r="20">
          <cell r="A20" t="str">
            <v>0008</v>
          </cell>
          <cell r="B20" t="str">
            <v>Claudia González</v>
          </cell>
          <cell r="C20" t="str">
            <v>Vendedor</v>
          </cell>
          <cell r="D20">
            <v>25</v>
          </cell>
          <cell r="E20">
            <v>28333.333333333332</v>
          </cell>
          <cell r="F20">
            <v>850000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73500</v>
          </cell>
          <cell r="Q20">
            <v>59999.999999999993</v>
          </cell>
          <cell r="R20">
            <v>0</v>
          </cell>
          <cell r="S20">
            <v>983500</v>
          </cell>
          <cell r="T20">
            <v>910000</v>
          </cell>
          <cell r="U20">
            <v>36400</v>
          </cell>
          <cell r="V20">
            <v>36400</v>
          </cell>
          <cell r="W20">
            <v>0</v>
          </cell>
          <cell r="X20">
            <v>59500.000000000007</v>
          </cell>
          <cell r="Y20">
            <v>17000</v>
          </cell>
          <cell r="Z20">
            <v>149300</v>
          </cell>
          <cell r="AA20">
            <v>834200</v>
          </cell>
        </row>
        <row r="21">
          <cell r="A21" t="str">
            <v>0009</v>
          </cell>
          <cell r="B21" t="str">
            <v>Diana López</v>
          </cell>
          <cell r="C21" t="str">
            <v>Secretaria</v>
          </cell>
          <cell r="D21">
            <v>25</v>
          </cell>
          <cell r="E21">
            <v>31666.666666666668</v>
          </cell>
          <cell r="F21">
            <v>950000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73500</v>
          </cell>
          <cell r="Q21">
            <v>0</v>
          </cell>
          <cell r="R21">
            <v>40000</v>
          </cell>
          <cell r="S21">
            <v>1063500</v>
          </cell>
          <cell r="T21">
            <v>990000</v>
          </cell>
          <cell r="U21">
            <v>39600</v>
          </cell>
          <cell r="V21">
            <v>39600</v>
          </cell>
          <cell r="W21">
            <v>0</v>
          </cell>
          <cell r="X21">
            <v>66500</v>
          </cell>
          <cell r="Y21">
            <v>19000</v>
          </cell>
          <cell r="Z21">
            <v>164700</v>
          </cell>
          <cell r="AA21">
            <v>898800</v>
          </cell>
        </row>
        <row r="22">
          <cell r="A22" t="str">
            <v>0010</v>
          </cell>
          <cell r="B22" t="str">
            <v>Didier Alejandro Sánchez</v>
          </cell>
          <cell r="C22" t="str">
            <v>Digitador</v>
          </cell>
          <cell r="D22">
            <v>30</v>
          </cell>
          <cell r="E22">
            <v>30000</v>
          </cell>
          <cell r="F22">
            <v>900000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88200</v>
          </cell>
          <cell r="Q22">
            <v>0</v>
          </cell>
          <cell r="R22">
            <v>40000</v>
          </cell>
          <cell r="S22">
            <v>1028200</v>
          </cell>
          <cell r="T22">
            <v>940000</v>
          </cell>
          <cell r="U22">
            <v>37600</v>
          </cell>
          <cell r="V22">
            <v>37600</v>
          </cell>
          <cell r="W22">
            <v>0</v>
          </cell>
          <cell r="X22">
            <v>63000.000000000007</v>
          </cell>
          <cell r="Y22">
            <v>18000</v>
          </cell>
          <cell r="Z22">
            <v>156200</v>
          </cell>
          <cell r="AA22">
            <v>872000</v>
          </cell>
        </row>
        <row r="23">
          <cell r="A23" t="str">
            <v>0011</v>
          </cell>
          <cell r="B23" t="str">
            <v>Dora Luz Montoya</v>
          </cell>
          <cell r="C23" t="str">
            <v>Auxiliar Contable</v>
          </cell>
          <cell r="D23">
            <v>30</v>
          </cell>
          <cell r="E23">
            <v>36666.666666666664</v>
          </cell>
          <cell r="F23">
            <v>1100000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88200</v>
          </cell>
          <cell r="Q23">
            <v>0</v>
          </cell>
          <cell r="R23">
            <v>40000</v>
          </cell>
          <cell r="S23">
            <v>1228200</v>
          </cell>
          <cell r="T23">
            <v>1140000</v>
          </cell>
          <cell r="U23">
            <v>45600</v>
          </cell>
          <cell r="V23">
            <v>45600</v>
          </cell>
          <cell r="W23">
            <v>0</v>
          </cell>
          <cell r="X23">
            <v>110000</v>
          </cell>
          <cell r="Y23">
            <v>22000</v>
          </cell>
          <cell r="Z23">
            <v>223200</v>
          </cell>
          <cell r="AA23">
            <v>1005000</v>
          </cell>
        </row>
        <row r="24">
          <cell r="A24" t="str">
            <v>0012</v>
          </cell>
          <cell r="B24" t="str">
            <v>Doralba Galeano</v>
          </cell>
          <cell r="C24" t="str">
            <v>Operaria</v>
          </cell>
          <cell r="D24">
            <v>30</v>
          </cell>
          <cell r="E24">
            <v>26041.4</v>
          </cell>
          <cell r="F24">
            <v>781242</v>
          </cell>
          <cell r="G24">
            <v>5</v>
          </cell>
          <cell r="H24">
            <v>4</v>
          </cell>
          <cell r="I24">
            <v>2</v>
          </cell>
          <cell r="J24">
            <v>1</v>
          </cell>
          <cell r="K24">
            <v>20344.84375</v>
          </cell>
          <cell r="L24">
            <v>22786.225000000002</v>
          </cell>
          <cell r="M24">
            <v>14648.2875</v>
          </cell>
          <cell r="N24">
            <v>8951.7312500000007</v>
          </cell>
          <cell r="O24">
            <v>66731.087500000009</v>
          </cell>
          <cell r="P24">
            <v>88200</v>
          </cell>
          <cell r="Q24">
            <v>0</v>
          </cell>
          <cell r="R24">
            <v>0</v>
          </cell>
          <cell r="S24">
            <v>936173.08750000002</v>
          </cell>
          <cell r="T24">
            <v>847973.08750000002</v>
          </cell>
          <cell r="U24">
            <v>33918.923500000004</v>
          </cell>
          <cell r="V24">
            <v>33918.923500000004</v>
          </cell>
          <cell r="W24">
            <v>0</v>
          </cell>
          <cell r="X24">
            <v>31249.68</v>
          </cell>
          <cell r="Y24">
            <v>3906.21</v>
          </cell>
          <cell r="Z24">
            <v>102993.73700000001</v>
          </cell>
          <cell r="AA24">
            <v>833179.35050000006</v>
          </cell>
        </row>
        <row r="25">
          <cell r="A25" t="str">
            <v>0013</v>
          </cell>
          <cell r="B25" t="str">
            <v>Eliana Marcela Aguirre</v>
          </cell>
          <cell r="C25" t="str">
            <v>Gerente</v>
          </cell>
          <cell r="D25">
            <v>30</v>
          </cell>
          <cell r="E25">
            <v>300000</v>
          </cell>
          <cell r="F25">
            <v>9000000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40000</v>
          </cell>
          <cell r="S25">
            <v>9040000</v>
          </cell>
          <cell r="T25">
            <v>9040000</v>
          </cell>
          <cell r="U25">
            <v>253120</v>
          </cell>
          <cell r="V25">
            <v>253120</v>
          </cell>
          <cell r="W25">
            <v>63000</v>
          </cell>
          <cell r="X25">
            <v>630000</v>
          </cell>
          <cell r="Y25">
            <v>125999.99999999999</v>
          </cell>
          <cell r="Z25">
            <v>1325240</v>
          </cell>
          <cell r="AA25">
            <v>7714760</v>
          </cell>
        </row>
        <row r="26">
          <cell r="A26" t="str">
            <v>0014</v>
          </cell>
          <cell r="B26" t="str">
            <v>Francy Ruby Román</v>
          </cell>
          <cell r="C26" t="str">
            <v>Auxiliar Contable</v>
          </cell>
          <cell r="D26">
            <v>30</v>
          </cell>
          <cell r="E26">
            <v>36666.666666666664</v>
          </cell>
          <cell r="F26">
            <v>1100000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88200</v>
          </cell>
          <cell r="Q26">
            <v>0</v>
          </cell>
          <cell r="R26">
            <v>40000</v>
          </cell>
          <cell r="S26">
            <v>1228200</v>
          </cell>
          <cell r="T26">
            <v>1140000</v>
          </cell>
          <cell r="U26">
            <v>45600</v>
          </cell>
          <cell r="V26">
            <v>45600</v>
          </cell>
          <cell r="W26">
            <v>0</v>
          </cell>
          <cell r="X26">
            <v>110000</v>
          </cell>
          <cell r="Y26">
            <v>22000</v>
          </cell>
          <cell r="Z26">
            <v>223200</v>
          </cell>
          <cell r="AA26">
            <v>1005000</v>
          </cell>
        </row>
        <row r="27">
          <cell r="A27" t="str">
            <v>0015</v>
          </cell>
          <cell r="B27" t="str">
            <v>Hernán Darío Hernández</v>
          </cell>
          <cell r="C27" t="str">
            <v>Vendedor</v>
          </cell>
          <cell r="D27">
            <v>30</v>
          </cell>
          <cell r="E27">
            <v>28333.333333333332</v>
          </cell>
          <cell r="F27">
            <v>850000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88200</v>
          </cell>
          <cell r="Q27">
            <v>59999.999999999993</v>
          </cell>
          <cell r="R27">
            <v>0</v>
          </cell>
          <cell r="S27">
            <v>998200</v>
          </cell>
          <cell r="T27">
            <v>910000</v>
          </cell>
          <cell r="U27">
            <v>36400</v>
          </cell>
          <cell r="V27">
            <v>36400</v>
          </cell>
          <cell r="W27">
            <v>0</v>
          </cell>
          <cell r="X27">
            <v>59500.000000000007</v>
          </cell>
          <cell r="Y27">
            <v>17000</v>
          </cell>
          <cell r="Z27">
            <v>149300</v>
          </cell>
          <cell r="AA27">
            <v>848900</v>
          </cell>
        </row>
        <row r="28">
          <cell r="A28" t="str">
            <v>0016</v>
          </cell>
          <cell r="B28" t="str">
            <v>Leidy Maritza Herrera</v>
          </cell>
          <cell r="C28" t="str">
            <v>Operaria</v>
          </cell>
          <cell r="D28">
            <v>30</v>
          </cell>
          <cell r="E28">
            <v>26041.4</v>
          </cell>
          <cell r="F28">
            <v>781242</v>
          </cell>
          <cell r="G28">
            <v>5</v>
          </cell>
          <cell r="H28">
            <v>4</v>
          </cell>
          <cell r="I28">
            <v>2</v>
          </cell>
          <cell r="J28">
            <v>1</v>
          </cell>
          <cell r="K28">
            <v>20344.84375</v>
          </cell>
          <cell r="L28">
            <v>22786.225000000002</v>
          </cell>
          <cell r="M28">
            <v>14648.2875</v>
          </cell>
          <cell r="N28">
            <v>8951.7312500000007</v>
          </cell>
          <cell r="O28">
            <v>66731.087500000009</v>
          </cell>
          <cell r="P28">
            <v>88200</v>
          </cell>
          <cell r="Q28">
            <v>0</v>
          </cell>
          <cell r="R28">
            <v>0</v>
          </cell>
          <cell r="S28">
            <v>936173.08750000002</v>
          </cell>
          <cell r="T28">
            <v>847973.08750000002</v>
          </cell>
          <cell r="U28">
            <v>33918.923500000004</v>
          </cell>
          <cell r="V28">
            <v>33918.923500000004</v>
          </cell>
          <cell r="W28">
            <v>0</v>
          </cell>
          <cell r="X28">
            <v>31249.68</v>
          </cell>
          <cell r="Y28">
            <v>3906.21</v>
          </cell>
          <cell r="Z28">
            <v>102993.73700000001</v>
          </cell>
          <cell r="AA28">
            <v>833179.35050000006</v>
          </cell>
        </row>
        <row r="29">
          <cell r="A29" t="str">
            <v>0017</v>
          </cell>
          <cell r="B29" t="str">
            <v>Leidy Rosalía Galvis</v>
          </cell>
          <cell r="C29" t="str">
            <v>Auxiliar Contable</v>
          </cell>
          <cell r="D29">
            <v>30</v>
          </cell>
          <cell r="E29">
            <v>36666.666666666664</v>
          </cell>
          <cell r="F29">
            <v>1100000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88200</v>
          </cell>
          <cell r="Q29">
            <v>0</v>
          </cell>
          <cell r="R29">
            <v>40000</v>
          </cell>
          <cell r="S29">
            <v>1228200</v>
          </cell>
          <cell r="T29">
            <v>1140000</v>
          </cell>
          <cell r="U29">
            <v>45600</v>
          </cell>
          <cell r="V29">
            <v>45600</v>
          </cell>
          <cell r="W29">
            <v>0</v>
          </cell>
          <cell r="X29">
            <v>110000</v>
          </cell>
          <cell r="Y29">
            <v>22000</v>
          </cell>
          <cell r="Z29">
            <v>223200</v>
          </cell>
          <cell r="AA29">
            <v>1005000</v>
          </cell>
        </row>
        <row r="30">
          <cell r="A30" t="str">
            <v>0018</v>
          </cell>
          <cell r="B30" t="str">
            <v>Luis Fernando Vanegas</v>
          </cell>
          <cell r="C30" t="str">
            <v>Digitador</v>
          </cell>
          <cell r="D30">
            <v>30</v>
          </cell>
          <cell r="E30">
            <v>30000</v>
          </cell>
          <cell r="F30">
            <v>900000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88200</v>
          </cell>
          <cell r="Q30">
            <v>0</v>
          </cell>
          <cell r="R30">
            <v>40000</v>
          </cell>
          <cell r="S30">
            <v>1028200</v>
          </cell>
          <cell r="T30">
            <v>940000</v>
          </cell>
          <cell r="U30">
            <v>37600</v>
          </cell>
          <cell r="V30">
            <v>37600</v>
          </cell>
          <cell r="W30">
            <v>0</v>
          </cell>
          <cell r="X30">
            <v>63000.000000000007</v>
          </cell>
          <cell r="Y30">
            <v>18000</v>
          </cell>
          <cell r="Z30">
            <v>156200</v>
          </cell>
          <cell r="AA30">
            <v>872000</v>
          </cell>
        </row>
        <row r="31">
          <cell r="A31" t="str">
            <v>0019</v>
          </cell>
          <cell r="B31" t="str">
            <v>Liliana Ríos</v>
          </cell>
          <cell r="C31" t="str">
            <v>Vendedor</v>
          </cell>
          <cell r="D31">
            <v>30</v>
          </cell>
          <cell r="E31">
            <v>28333.333333333332</v>
          </cell>
          <cell r="F31">
            <v>850000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88200</v>
          </cell>
          <cell r="Q31">
            <v>59999.999999999993</v>
          </cell>
          <cell r="R31">
            <v>0</v>
          </cell>
          <cell r="S31">
            <v>998200</v>
          </cell>
          <cell r="T31">
            <v>910000</v>
          </cell>
          <cell r="U31">
            <v>36400</v>
          </cell>
          <cell r="V31">
            <v>36400</v>
          </cell>
          <cell r="W31">
            <v>0</v>
          </cell>
          <cell r="X31">
            <v>59500.000000000007</v>
          </cell>
          <cell r="Y31">
            <v>17000</v>
          </cell>
          <cell r="Z31">
            <v>149300</v>
          </cell>
          <cell r="AA31">
            <v>848900</v>
          </cell>
        </row>
        <row r="32">
          <cell r="A32" t="str">
            <v>0020</v>
          </cell>
          <cell r="B32" t="str">
            <v>Luz Enith Betancur</v>
          </cell>
          <cell r="C32" t="str">
            <v>Auxiliar Contable</v>
          </cell>
          <cell r="D32">
            <v>30</v>
          </cell>
          <cell r="E32">
            <v>36666.666666666664</v>
          </cell>
          <cell r="F32">
            <v>1100000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88200</v>
          </cell>
          <cell r="Q32">
            <v>0</v>
          </cell>
          <cell r="R32">
            <v>40000</v>
          </cell>
          <cell r="S32">
            <v>1228200</v>
          </cell>
          <cell r="T32">
            <v>1140000</v>
          </cell>
          <cell r="U32">
            <v>45600</v>
          </cell>
          <cell r="V32">
            <v>45600</v>
          </cell>
          <cell r="W32">
            <v>0</v>
          </cell>
          <cell r="X32">
            <v>110000</v>
          </cell>
          <cell r="Y32">
            <v>22000</v>
          </cell>
          <cell r="Z32">
            <v>223200</v>
          </cell>
          <cell r="AA32">
            <v>1005000</v>
          </cell>
        </row>
        <row r="33">
          <cell r="A33" t="str">
            <v>0021</v>
          </cell>
          <cell r="B33" t="str">
            <v>Maricela López</v>
          </cell>
          <cell r="C33" t="str">
            <v>Operaria</v>
          </cell>
          <cell r="D33">
            <v>30</v>
          </cell>
          <cell r="E33">
            <v>26041.4</v>
          </cell>
          <cell r="F33">
            <v>781242</v>
          </cell>
          <cell r="G33">
            <v>5</v>
          </cell>
          <cell r="H33">
            <v>4</v>
          </cell>
          <cell r="I33">
            <v>2</v>
          </cell>
          <cell r="J33">
            <v>1</v>
          </cell>
          <cell r="K33">
            <v>20344.84375</v>
          </cell>
          <cell r="L33">
            <v>22786.225000000002</v>
          </cell>
          <cell r="M33">
            <v>14648.2875</v>
          </cell>
          <cell r="N33">
            <v>8951.7312500000007</v>
          </cell>
          <cell r="O33">
            <v>66731.087500000009</v>
          </cell>
          <cell r="P33">
            <v>88200</v>
          </cell>
          <cell r="Q33">
            <v>0</v>
          </cell>
          <cell r="R33">
            <v>0</v>
          </cell>
          <cell r="S33">
            <v>936173.08750000002</v>
          </cell>
          <cell r="T33">
            <v>847973.08750000002</v>
          </cell>
          <cell r="U33">
            <v>33918.923500000004</v>
          </cell>
          <cell r="V33">
            <v>33918.923500000004</v>
          </cell>
          <cell r="W33">
            <v>0</v>
          </cell>
          <cell r="X33">
            <v>31249.68</v>
          </cell>
          <cell r="Y33">
            <v>3906.21</v>
          </cell>
          <cell r="Z33">
            <v>102993.73700000001</v>
          </cell>
          <cell r="AA33">
            <v>833179.35050000006</v>
          </cell>
        </row>
        <row r="34">
          <cell r="A34" t="str">
            <v>0022</v>
          </cell>
          <cell r="B34" t="str">
            <v>Martha Deisy Ceballos</v>
          </cell>
          <cell r="C34" t="str">
            <v>Digitadora</v>
          </cell>
          <cell r="D34">
            <v>30</v>
          </cell>
          <cell r="E34">
            <v>30000</v>
          </cell>
          <cell r="F34">
            <v>900000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88200</v>
          </cell>
          <cell r="Q34">
            <v>0</v>
          </cell>
          <cell r="R34">
            <v>40000</v>
          </cell>
          <cell r="S34">
            <v>1028200</v>
          </cell>
          <cell r="T34">
            <v>940000</v>
          </cell>
          <cell r="U34">
            <v>37600</v>
          </cell>
          <cell r="V34">
            <v>37600</v>
          </cell>
          <cell r="W34">
            <v>0</v>
          </cell>
          <cell r="X34">
            <v>63000.000000000007</v>
          </cell>
          <cell r="Y34">
            <v>18000</v>
          </cell>
          <cell r="Z34">
            <v>156200</v>
          </cell>
          <cell r="AA34">
            <v>872000</v>
          </cell>
        </row>
        <row r="35">
          <cell r="A35" t="str">
            <v>0023</v>
          </cell>
          <cell r="B35" t="str">
            <v>Mauricio Alzate</v>
          </cell>
          <cell r="C35" t="str">
            <v>Operario</v>
          </cell>
          <cell r="D35">
            <v>30</v>
          </cell>
          <cell r="E35">
            <v>26041.4</v>
          </cell>
          <cell r="F35">
            <v>781242</v>
          </cell>
          <cell r="G35">
            <v>5</v>
          </cell>
          <cell r="H35">
            <v>4</v>
          </cell>
          <cell r="I35">
            <v>2</v>
          </cell>
          <cell r="J35">
            <v>1</v>
          </cell>
          <cell r="K35">
            <v>20344.84375</v>
          </cell>
          <cell r="L35">
            <v>22786.225000000002</v>
          </cell>
          <cell r="M35">
            <v>14648.2875</v>
          </cell>
          <cell r="N35">
            <v>8951.7312500000007</v>
          </cell>
          <cell r="O35">
            <v>66731.087500000009</v>
          </cell>
          <cell r="P35">
            <v>88200</v>
          </cell>
          <cell r="Q35">
            <v>0</v>
          </cell>
          <cell r="R35">
            <v>0</v>
          </cell>
          <cell r="S35">
            <v>936173.08750000002</v>
          </cell>
          <cell r="T35">
            <v>847973.08750000002</v>
          </cell>
          <cell r="U35">
            <v>33918.923500000004</v>
          </cell>
          <cell r="V35">
            <v>33918.923500000004</v>
          </cell>
          <cell r="W35">
            <v>0</v>
          </cell>
          <cell r="X35">
            <v>31249.68</v>
          </cell>
          <cell r="Y35">
            <v>3906.21</v>
          </cell>
          <cell r="Z35">
            <v>102993.73700000001</v>
          </cell>
          <cell r="AA35">
            <v>833179.35050000006</v>
          </cell>
        </row>
        <row r="36">
          <cell r="A36" t="str">
            <v>0024</v>
          </cell>
          <cell r="B36" t="str">
            <v>Mónica Yurany Giraldo</v>
          </cell>
          <cell r="C36" t="str">
            <v>Secretaria</v>
          </cell>
          <cell r="D36">
            <v>30</v>
          </cell>
          <cell r="E36">
            <v>31666.666666666668</v>
          </cell>
          <cell r="F36">
            <v>950000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88200</v>
          </cell>
          <cell r="Q36">
            <v>0</v>
          </cell>
          <cell r="R36">
            <v>40000</v>
          </cell>
          <cell r="S36">
            <v>1078200</v>
          </cell>
          <cell r="T36">
            <v>990000</v>
          </cell>
          <cell r="U36">
            <v>39600</v>
          </cell>
          <cell r="V36">
            <v>39600</v>
          </cell>
          <cell r="W36">
            <v>0</v>
          </cell>
          <cell r="X36">
            <v>66500</v>
          </cell>
          <cell r="Y36">
            <v>19000</v>
          </cell>
          <cell r="Z36">
            <v>164700</v>
          </cell>
          <cell r="AA36">
            <v>913500</v>
          </cell>
        </row>
        <row r="37">
          <cell r="A37" t="str">
            <v>0025</v>
          </cell>
          <cell r="B37" t="str">
            <v>Nayibet Galvis</v>
          </cell>
          <cell r="C37" t="str">
            <v>Operaria</v>
          </cell>
          <cell r="D37">
            <v>30</v>
          </cell>
          <cell r="E37">
            <v>26041.4</v>
          </cell>
          <cell r="F37">
            <v>781242</v>
          </cell>
          <cell r="G37">
            <v>5</v>
          </cell>
          <cell r="H37">
            <v>4</v>
          </cell>
          <cell r="I37">
            <v>2</v>
          </cell>
          <cell r="J37">
            <v>1</v>
          </cell>
          <cell r="K37">
            <v>20344.84375</v>
          </cell>
          <cell r="L37">
            <v>22786.225000000002</v>
          </cell>
          <cell r="M37">
            <v>14648.2875</v>
          </cell>
          <cell r="N37">
            <v>8951.7312500000007</v>
          </cell>
          <cell r="O37">
            <v>66731.087500000009</v>
          </cell>
          <cell r="P37">
            <v>88200</v>
          </cell>
          <cell r="Q37">
            <v>0</v>
          </cell>
          <cell r="R37">
            <v>0</v>
          </cell>
          <cell r="S37">
            <v>936173.08750000002</v>
          </cell>
          <cell r="T37">
            <v>847973.08750000002</v>
          </cell>
          <cell r="U37">
            <v>33918.923500000004</v>
          </cell>
          <cell r="V37">
            <v>33918.923500000004</v>
          </cell>
          <cell r="W37">
            <v>0</v>
          </cell>
          <cell r="X37">
            <v>31249.68</v>
          </cell>
          <cell r="Y37">
            <v>3906.21</v>
          </cell>
          <cell r="Z37">
            <v>102993.73700000001</v>
          </cell>
          <cell r="AA37">
            <v>833179.35050000006</v>
          </cell>
        </row>
        <row r="38">
          <cell r="A38" t="str">
            <v>0026</v>
          </cell>
          <cell r="B38" t="str">
            <v>Patricia Rodriguez</v>
          </cell>
          <cell r="C38" t="str">
            <v>Operaria</v>
          </cell>
          <cell r="D38">
            <v>30</v>
          </cell>
          <cell r="E38">
            <v>26041.4</v>
          </cell>
          <cell r="F38">
            <v>781242</v>
          </cell>
          <cell r="G38">
            <v>5</v>
          </cell>
          <cell r="H38">
            <v>4</v>
          </cell>
          <cell r="I38">
            <v>2</v>
          </cell>
          <cell r="J38">
            <v>1</v>
          </cell>
          <cell r="K38">
            <v>20344.84375</v>
          </cell>
          <cell r="L38">
            <v>22786.225000000002</v>
          </cell>
          <cell r="M38">
            <v>14648.2875</v>
          </cell>
          <cell r="N38">
            <v>8951.7312500000007</v>
          </cell>
          <cell r="O38">
            <v>66731.087500000009</v>
          </cell>
          <cell r="P38">
            <v>88200</v>
          </cell>
          <cell r="Q38">
            <v>0</v>
          </cell>
          <cell r="R38">
            <v>0</v>
          </cell>
          <cell r="S38">
            <v>936173.08750000002</v>
          </cell>
          <cell r="T38">
            <v>847973.08750000002</v>
          </cell>
          <cell r="U38">
            <v>33918.923500000004</v>
          </cell>
          <cell r="V38">
            <v>33918.923500000004</v>
          </cell>
          <cell r="W38">
            <v>0</v>
          </cell>
          <cell r="X38">
            <v>31249.68</v>
          </cell>
          <cell r="Y38">
            <v>3906.21</v>
          </cell>
          <cell r="Z38">
            <v>102993.73700000001</v>
          </cell>
          <cell r="AA38">
            <v>833179.35050000006</v>
          </cell>
        </row>
        <row r="39">
          <cell r="A39" t="str">
            <v>0027</v>
          </cell>
          <cell r="B39" t="str">
            <v>Sandra Marcela Rojas</v>
          </cell>
          <cell r="C39" t="str">
            <v>Operaria</v>
          </cell>
          <cell r="D39">
            <v>30</v>
          </cell>
          <cell r="E39">
            <v>26041.4</v>
          </cell>
          <cell r="F39">
            <v>781242</v>
          </cell>
          <cell r="G39">
            <v>5</v>
          </cell>
          <cell r="H39">
            <v>4</v>
          </cell>
          <cell r="I39">
            <v>2</v>
          </cell>
          <cell r="J39">
            <v>1</v>
          </cell>
          <cell r="K39">
            <v>20344.84375</v>
          </cell>
          <cell r="L39">
            <v>22786.225000000002</v>
          </cell>
          <cell r="M39">
            <v>14648.2875</v>
          </cell>
          <cell r="N39">
            <v>8951.7312500000007</v>
          </cell>
          <cell r="O39">
            <v>66731.087500000009</v>
          </cell>
          <cell r="P39">
            <v>88200</v>
          </cell>
          <cell r="Q39">
            <v>0</v>
          </cell>
          <cell r="R39">
            <v>0</v>
          </cell>
          <cell r="S39">
            <v>936173.08750000002</v>
          </cell>
          <cell r="T39">
            <v>847973.08750000002</v>
          </cell>
          <cell r="U39">
            <v>33918.923500000004</v>
          </cell>
          <cell r="V39">
            <v>33918.923500000004</v>
          </cell>
          <cell r="W39">
            <v>0</v>
          </cell>
          <cell r="X39">
            <v>31249.68</v>
          </cell>
          <cell r="Y39">
            <v>3906.21</v>
          </cell>
          <cell r="Z39">
            <v>102993.73700000001</v>
          </cell>
          <cell r="AA39">
            <v>833179.35050000006</v>
          </cell>
        </row>
        <row r="40">
          <cell r="A40" t="str">
            <v>0028</v>
          </cell>
          <cell r="B40" t="str">
            <v>Yeisón Fernando García</v>
          </cell>
          <cell r="C40" t="str">
            <v>Auxiliar Contable</v>
          </cell>
          <cell r="D40">
            <v>30</v>
          </cell>
          <cell r="E40">
            <v>36666.666666666664</v>
          </cell>
          <cell r="F40">
            <v>1100000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88200</v>
          </cell>
          <cell r="Q40">
            <v>0</v>
          </cell>
          <cell r="R40">
            <v>40000</v>
          </cell>
          <cell r="S40">
            <v>1228200</v>
          </cell>
          <cell r="T40">
            <v>1140000</v>
          </cell>
          <cell r="U40">
            <v>45600</v>
          </cell>
          <cell r="V40">
            <v>45600</v>
          </cell>
          <cell r="W40">
            <v>0</v>
          </cell>
          <cell r="X40">
            <v>110000</v>
          </cell>
          <cell r="Y40">
            <v>22000</v>
          </cell>
          <cell r="Z40">
            <v>223200</v>
          </cell>
          <cell r="AA40">
            <v>1005000</v>
          </cell>
        </row>
        <row r="41">
          <cell r="A41" t="str">
            <v>0029</v>
          </cell>
          <cell r="B41" t="str">
            <v>Yohiner Tangarife</v>
          </cell>
          <cell r="C41" t="str">
            <v>Auxiliar Contable</v>
          </cell>
          <cell r="D41">
            <v>30</v>
          </cell>
          <cell r="E41">
            <v>36666.666666666664</v>
          </cell>
          <cell r="F41">
            <v>1100000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88200</v>
          </cell>
          <cell r="Q41">
            <v>0</v>
          </cell>
          <cell r="R41">
            <v>40000</v>
          </cell>
          <cell r="S41">
            <v>1228200</v>
          </cell>
          <cell r="T41">
            <v>1140000</v>
          </cell>
          <cell r="U41">
            <v>45600</v>
          </cell>
          <cell r="V41">
            <v>45600</v>
          </cell>
          <cell r="W41">
            <v>0</v>
          </cell>
          <cell r="X41">
            <v>110000</v>
          </cell>
          <cell r="Y41">
            <v>22000</v>
          </cell>
          <cell r="Z41">
            <v>223200</v>
          </cell>
          <cell r="AA41">
            <v>1005000</v>
          </cell>
        </row>
        <row r="42">
          <cell r="A42" t="str">
            <v>0030</v>
          </cell>
          <cell r="B42" t="str">
            <v>Yuliana Cardona</v>
          </cell>
          <cell r="C42" t="str">
            <v>Digitadora</v>
          </cell>
          <cell r="D42">
            <v>30</v>
          </cell>
          <cell r="E42">
            <v>30000</v>
          </cell>
          <cell r="F42">
            <v>900000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88200</v>
          </cell>
          <cell r="Q42">
            <v>0</v>
          </cell>
          <cell r="R42">
            <v>40000</v>
          </cell>
          <cell r="S42">
            <v>1028200</v>
          </cell>
          <cell r="T42">
            <v>940000</v>
          </cell>
          <cell r="U42">
            <v>37600</v>
          </cell>
          <cell r="V42">
            <v>37600</v>
          </cell>
          <cell r="W42">
            <v>0</v>
          </cell>
          <cell r="X42">
            <v>63000.000000000007</v>
          </cell>
          <cell r="Y42">
            <v>18000</v>
          </cell>
          <cell r="Z42">
            <v>156200</v>
          </cell>
          <cell r="AA42">
            <v>872000</v>
          </cell>
        </row>
        <row r="43">
          <cell r="B43" t="str">
            <v/>
          </cell>
          <cell r="C43" t="str">
            <v/>
          </cell>
          <cell r="E43" t="str">
            <v/>
          </cell>
          <cell r="F43" t="str">
            <v/>
          </cell>
          <cell r="G43" t="str">
            <v/>
          </cell>
          <cell r="H43">
            <v>0</v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  <cell r="M43">
            <v>0</v>
          </cell>
          <cell r="N43" t="str">
            <v/>
          </cell>
          <cell r="P43">
            <v>0</v>
          </cell>
          <cell r="Q43">
            <v>0</v>
          </cell>
          <cell r="Z43">
            <v>5830845.1460001189</v>
          </cell>
          <cell r="AA43">
            <v>33502581.554001376</v>
          </cell>
        </row>
        <row r="44">
          <cell r="A44" t="str">
            <v>TOTALES</v>
          </cell>
          <cell r="I44" t="str">
            <v>APROPIACIONES</v>
          </cell>
          <cell r="K44" t="str">
            <v>%</v>
          </cell>
          <cell r="L44" t="str">
            <v>VALOR</v>
          </cell>
          <cell r="M44" t="str">
            <v>DATOS BÁSICOS PARA LIQUIDAR LA NÓMINA</v>
          </cell>
          <cell r="V44" t="str">
            <v>OSERVACIONES</v>
          </cell>
        </row>
        <row r="45">
          <cell r="A45" t="str">
            <v>DEVENGADOS</v>
          </cell>
          <cell r="F45" t="str">
            <v>DEDUCCIONES</v>
          </cell>
          <cell r="I45" t="str">
            <v>EPS</v>
          </cell>
          <cell r="K45">
            <v>535500</v>
          </cell>
        </row>
        <row r="46">
          <cell r="F46" t="str">
            <v>EPS</v>
          </cell>
          <cell r="H46">
            <v>1363721.06800006</v>
          </cell>
          <cell r="I46" t="str">
            <v>FP</v>
          </cell>
          <cell r="K46">
            <v>4416603.2040001797</v>
          </cell>
          <cell r="M46" t="str">
            <v>SALARIO MINIMO</v>
          </cell>
          <cell r="O46">
            <v>781242</v>
          </cell>
          <cell r="S46" t="str">
            <v>DATOS HORAS EXTRAS</v>
          </cell>
          <cell r="V46" t="str">
            <v>Despues de 10 salarios minimos el salario pasa hacer integral y para el calculo de la seguridad</v>
          </cell>
        </row>
        <row r="47">
          <cell r="A47" t="str">
            <v>BÁSICOMENSUAL</v>
          </cell>
          <cell r="E47">
            <v>35331178</v>
          </cell>
          <cell r="F47" t="str">
            <v>IVM</v>
          </cell>
          <cell r="H47">
            <v>1363721.06800006</v>
          </cell>
          <cell r="I47" t="str">
            <v>CESANTIAS</v>
          </cell>
          <cell r="K47">
            <v>3276474.4441101248</v>
          </cell>
          <cell r="M47" t="str">
            <v>AUXILIO TRANSPORTE</v>
          </cell>
          <cell r="O47">
            <v>88200</v>
          </cell>
          <cell r="S47" t="str">
            <v>Extra Diurna</v>
          </cell>
          <cell r="U47">
            <v>1.25</v>
          </cell>
          <cell r="V47" t="str">
            <v>social se toma sobre el 70% el 30% restante es factor prestacional</v>
          </cell>
        </row>
        <row r="48">
          <cell r="A48" t="str">
            <v>EXTRAS</v>
          </cell>
          <cell r="E48">
            <v>533848.70000000007</v>
          </cell>
          <cell r="F48" t="str">
            <v>CESANTIAS</v>
          </cell>
          <cell r="I48" t="str">
            <v>INT CESANT</v>
          </cell>
          <cell r="K48">
            <v>393334.26700001501</v>
          </cell>
          <cell r="M48" t="str">
            <v>% EPS EMPLEADO</v>
          </cell>
          <cell r="O48">
            <v>0.04</v>
          </cell>
          <cell r="S48" t="str">
            <v>Extra Nocturna</v>
          </cell>
          <cell r="U48">
            <v>1.75</v>
          </cell>
        </row>
        <row r="49">
          <cell r="A49" t="str">
            <v>TRANSPORTE</v>
          </cell>
          <cell r="E49">
            <v>2528400</v>
          </cell>
          <cell r="F49" t="str">
            <v>FS</v>
          </cell>
          <cell r="H49">
            <v>63000</v>
          </cell>
          <cell r="I49" t="str">
            <v>PRIMAS</v>
          </cell>
          <cell r="K49">
            <v>3276474.4441101248</v>
          </cell>
          <cell r="M49" t="str">
            <v>% FP EMPLEADO</v>
          </cell>
          <cell r="O49">
            <v>0.04</v>
          </cell>
          <cell r="S49" t="str">
            <v>Extra Festiva Duirna</v>
          </cell>
          <cell r="U49">
            <v>2.25</v>
          </cell>
        </row>
        <row r="50">
          <cell r="A50" t="str">
            <v>COMISIÓN</v>
          </cell>
          <cell r="E50">
            <v>299999.99999999994</v>
          </cell>
          <cell r="F50" t="str">
            <v>COOPERATIVA</v>
          </cell>
          <cell r="H50">
            <v>2493247.1200000006</v>
          </cell>
          <cell r="I50" t="str">
            <v>VACACIONES</v>
          </cell>
          <cell r="K50">
            <v>1534769.6133900627</v>
          </cell>
          <cell r="M50" t="str">
            <v>% FS</v>
          </cell>
          <cell r="O50">
            <v>0.01</v>
          </cell>
          <cell r="S50" t="str">
            <v>Extra Festiva Nocturna</v>
          </cell>
          <cell r="U50">
            <v>2.75</v>
          </cell>
        </row>
        <row r="51">
          <cell r="I51" t="str">
            <v>SENA</v>
          </cell>
          <cell r="K51">
            <v>126000</v>
          </cell>
        </row>
        <row r="52">
          <cell r="A52" t="str">
            <v>BONIFICACIÓN</v>
          </cell>
          <cell r="E52">
            <v>640000.00000150001</v>
          </cell>
          <cell r="F52" t="str">
            <v>SINDICATO</v>
          </cell>
          <cell r="H52">
            <v>547155.89000000013</v>
          </cell>
          <cell r="I52" t="str">
            <v>ICBF</v>
          </cell>
          <cell r="K52">
            <v>189000</v>
          </cell>
          <cell r="M52" t="str">
            <v>VALOR VENTAS MES</v>
          </cell>
          <cell r="O52">
            <v>200000000</v>
          </cell>
        </row>
        <row r="53">
          <cell r="A53" t="str">
            <v>TOTAL DEVENGADO</v>
          </cell>
          <cell r="E53">
            <v>39333426.700001501</v>
          </cell>
          <cell r="F53" t="str">
            <v>TOTAL DEDUCIDO</v>
          </cell>
          <cell r="H53">
            <v>5830845.1460001208</v>
          </cell>
          <cell r="I53" t="str">
            <v>TOTAL APROPIACIONES</v>
          </cell>
          <cell r="K53">
            <v>13748155.972610507</v>
          </cell>
          <cell r="M53" t="str">
            <v>% COMISIÓN</v>
          </cell>
          <cell r="O53">
            <v>2.9999999999999997E-4</v>
          </cell>
        </row>
        <row r="54">
          <cell r="M54" t="str">
            <v>% COOPERATIVA</v>
          </cell>
          <cell r="O54">
            <v>0.05</v>
          </cell>
          <cell r="P54">
            <v>0.1</v>
          </cell>
          <cell r="Q54">
            <v>7.0000000000000007E-2</v>
          </cell>
          <cell r="R54">
            <v>0.04</v>
          </cell>
        </row>
        <row r="55">
          <cell r="A55" t="str">
            <v>TOTAL NETO PAGADO</v>
          </cell>
          <cell r="F55">
            <v>33502581.554001376</v>
          </cell>
          <cell r="I55" t="str">
            <v>NÚMERO CHEQUE</v>
          </cell>
          <cell r="K55" t="str">
            <v>0001-256548-454652</v>
          </cell>
          <cell r="M55" t="str">
            <v>% SINDICATO</v>
          </cell>
          <cell r="O55">
            <v>5.0000000000000001E-3</v>
          </cell>
          <cell r="P55">
            <v>0.02</v>
          </cell>
        </row>
        <row r="56">
          <cell r="I56" t="str">
            <v>BANCO</v>
          </cell>
          <cell r="K56" t="str">
            <v>BANCOLOMBIA</v>
          </cell>
          <cell r="M56" t="str">
            <v>% BONIFICACIÓN</v>
          </cell>
          <cell r="O56">
            <v>2.0000000000000001E-4</v>
          </cell>
          <cell r="Q56">
            <v>2.9999999999999997E-4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GLADYS%20PERSONAL/TALLE%20R%20N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SISTENTE2" refreshedDate="43425.553008564813" createdVersion="5" refreshedVersion="5" minRefreshableVersion="3" recordCount="30" xr:uid="{18051F27-E963-421B-B843-904F9FA87E6C}">
  <cacheSource type="worksheet">
    <worksheetSource name="Tabla1" r:id="rId2"/>
  </cacheSource>
  <cacheFields count="27">
    <cacheField name="EMPLEADO" numFmtId="49">
      <sharedItems count="30">
        <s v="0001"/>
        <s v="0002"/>
        <s v="0003"/>
        <s v="0004"/>
        <s v="0005"/>
        <s v="0006"/>
        <s v="0007"/>
        <s v="0008"/>
        <s v="0009"/>
        <s v="0010"/>
        <s v="0011"/>
        <s v="0012"/>
        <s v="0013"/>
        <s v="0014"/>
        <s v="0015"/>
        <s v="0016"/>
        <s v="0017"/>
        <s v="0018"/>
        <s v="0019"/>
        <s v="0020"/>
        <s v="0021"/>
        <s v="0022"/>
        <s v="0023"/>
        <s v="0024"/>
        <s v="0025"/>
        <s v="0026"/>
        <s v="0027"/>
        <s v="0028"/>
        <s v="0029"/>
        <s v="0030"/>
      </sharedItems>
    </cacheField>
    <cacheField name="EMPLEADO2" numFmtId="0">
      <sharedItems count="30">
        <s v="Ospina Borja Pedro Nel"/>
        <s v="Andrés Felipe Ramírez"/>
        <s v="Ángela María Hernández"/>
        <s v="Camilo Ceballos"/>
        <s v="Carlos Andrés Giraldo"/>
        <s v="Carlos Mario Quiroz"/>
        <s v="Carolina Rodríguez"/>
        <s v="Claudia González"/>
        <s v="Diana López"/>
        <s v="Didier Alejandro Sánchez"/>
        <s v="Dora Luz Montoya"/>
        <s v="Doralba Galeano"/>
        <s v="Eliana Marcela Aguirre"/>
        <s v="Francy Ruby Román"/>
        <s v="Hernán Darío Hernández"/>
        <s v="Leidy Maritza Herrera"/>
        <s v="Leidy Rosalía Galvis"/>
        <s v="Luis Fernando Vanegas"/>
        <s v="Liliana Ríos"/>
        <s v="Luz Enith Betancur"/>
        <s v="Maricela López"/>
        <s v="Martha Deisy Ceballos"/>
        <s v="Mauricio Alzate"/>
        <s v="Mónica Yurany Giraldo"/>
        <s v="Nayibet Galvis"/>
        <s v="Patricia Rodriguez"/>
        <s v="Sandra Marcela Rojas"/>
        <s v="Yeisón Fernando García"/>
        <s v="Yohiner Tangarife"/>
        <s v="Yuliana Cardona"/>
      </sharedItems>
    </cacheField>
    <cacheField name="CARGO DEL EMPLEADO" numFmtId="0">
      <sharedItems count="9">
        <s v="Digitador"/>
        <s v="Vendedor"/>
        <s v="Auxiliar Contable"/>
        <s v="Operario"/>
        <s v="Secretaria"/>
        <s v="Aseadora"/>
        <s v="Operaria"/>
        <s v="Gerente"/>
        <s v="Digitadora"/>
      </sharedItems>
    </cacheField>
    <cacheField name="DÍAS" numFmtId="0">
      <sharedItems containsSemiMixedTypes="0" containsString="0" containsNumber="1" containsInteger="1" minValue="25" maxValue="30"/>
    </cacheField>
    <cacheField name="DIARIO" numFmtId="164">
      <sharedItems containsSemiMixedTypes="0" containsString="0" containsNumber="1" minValue="26041.4" maxValue="300000"/>
    </cacheField>
    <cacheField name="MENSUAL" numFmtId="164">
      <sharedItems containsSemiMixedTypes="0" containsString="0" containsNumber="1" containsInteger="1" minValue="781242" maxValue="9000000"/>
    </cacheField>
    <cacheField name="DIURNA" numFmtId="0">
      <sharedItems containsSemiMixedTypes="0" containsString="0" containsNumber="1" containsInteger="1" minValue="0" maxValue="5"/>
    </cacheField>
    <cacheField name="NOCTURNA" numFmtId="0">
      <sharedItems containsSemiMixedTypes="0" containsString="0" containsNumber="1" containsInteger="1" minValue="0" maxValue="4"/>
    </cacheField>
    <cacheField name="FESTIVA  DIURNA" numFmtId="0">
      <sharedItems containsSemiMixedTypes="0" containsString="0" containsNumber="1" containsInteger="1" minValue="0" maxValue="2"/>
    </cacheField>
    <cacheField name="FESTIVA  NOCTURNA" numFmtId="0">
      <sharedItems containsSemiMixedTypes="0" containsString="0" containsNumber="1" containsInteger="1" minValue="0" maxValue="1"/>
    </cacheField>
    <cacheField name="DIURNA3" numFmtId="164">
      <sharedItems containsSemiMixedTypes="0" containsString="0" containsNumber="1" minValue="0" maxValue="20344.84375"/>
    </cacheField>
    <cacheField name="NOCTURNA4" numFmtId="164">
      <sharedItems containsSemiMixedTypes="0" containsString="0" containsNumber="1" minValue="0" maxValue="22786.225000000002"/>
    </cacheField>
    <cacheField name="FESTIVA DIURNA" numFmtId="164">
      <sharedItems containsSemiMixedTypes="0" containsString="0" containsNumber="1" minValue="0" maxValue="14648.2875"/>
    </cacheField>
    <cacheField name="FESTIVA NOCTURNA" numFmtId="164">
      <sharedItems containsSemiMixedTypes="0" containsString="0" containsNumber="1" minValue="0" maxValue="8951.7312500000007"/>
    </cacheField>
    <cacheField name="EXTRAS" numFmtId="164">
      <sharedItems containsSemiMixedTypes="0" containsString="0" containsNumber="1" minValue="0" maxValue="66731.087500000009"/>
    </cacheField>
    <cacheField name="TRANSPORTE" numFmtId="164">
      <sharedItems containsSemiMixedTypes="0" containsString="0" containsNumber="1" containsInteger="1" minValue="0" maxValue="88200"/>
    </cacheField>
    <cacheField name="COMISIÓN" numFmtId="164">
      <sharedItems containsSemiMixedTypes="0" containsString="0" containsNumber="1" minValue="0" maxValue="59999.999999999993"/>
    </cacheField>
    <cacheField name="BONIFICACIÓN" numFmtId="164">
      <sharedItems containsString="0" containsBlank="1" containsNumber="1" minValue="0" maxValue="40000"/>
    </cacheField>
    <cacheField name="DEVENGADO" numFmtId="164">
      <sharedItems containsSemiMixedTypes="0" containsString="0" containsNumber="1" minValue="869442" maxValue="9040000"/>
    </cacheField>
    <cacheField name="DEVENGADO SIN AUXILIO" numFmtId="164">
      <sharedItems containsSemiMixedTypes="0" containsString="0" containsNumber="1" minValue="781242" maxValue="9040000"/>
    </cacheField>
    <cacheField name="EPS" numFmtId="164">
      <sharedItems containsSemiMixedTypes="0" containsString="0" containsNumber="1" minValue="31249.68" maxValue="253120"/>
    </cacheField>
    <cacheField name="FP" numFmtId="164">
      <sharedItems containsSemiMixedTypes="0" containsString="0" containsNumber="1" minValue="31249.68" maxValue="253120"/>
    </cacheField>
    <cacheField name="FS" numFmtId="164">
      <sharedItems containsSemiMixedTypes="0" containsString="0" containsNumber="1" containsInteger="1" minValue="0" maxValue="63000"/>
    </cacheField>
    <cacheField name="COOPERATIVA" numFmtId="164">
      <sharedItems containsSemiMixedTypes="0" containsString="0" containsNumber="1" minValue="31249.68" maxValue="630000"/>
    </cacheField>
    <cacheField name="SINDICATO" numFmtId="164">
      <sharedItems containsSemiMixedTypes="0" containsString="0" containsNumber="1" minValue="3906.21" maxValue="125999.99999999999"/>
    </cacheField>
    <cacheField name="DEDUCCIONES" numFmtId="164">
      <sharedItems containsSemiMixedTypes="0" containsString="0" containsNumber="1" minValue="97655.250000000015" maxValue="1325240"/>
    </cacheField>
    <cacheField name="PAGADO" numFmtId="164">
      <sharedItems containsSemiMixedTypes="0" containsString="0" containsNumber="1" minValue="771786.75" maxValue="771476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">
  <r>
    <x v="0"/>
    <x v="0"/>
    <x v="0"/>
    <n v="30"/>
    <n v="30000"/>
    <n v="900000"/>
    <n v="0"/>
    <n v="0"/>
    <n v="0"/>
    <n v="0"/>
    <n v="0"/>
    <n v="0"/>
    <n v="0"/>
    <n v="0"/>
    <n v="0"/>
    <n v="88200"/>
    <n v="0"/>
    <n v="40000"/>
    <n v="1028200"/>
    <n v="940000"/>
    <n v="37600"/>
    <n v="37600"/>
    <n v="0"/>
    <n v="63000.000000000007"/>
    <n v="18000"/>
    <n v="156200"/>
    <n v="872000"/>
  </r>
  <r>
    <x v="1"/>
    <x v="1"/>
    <x v="1"/>
    <n v="30"/>
    <n v="28333.333333333332"/>
    <n v="850000"/>
    <n v="0"/>
    <n v="0"/>
    <n v="0"/>
    <n v="0"/>
    <n v="0"/>
    <n v="0"/>
    <n v="0"/>
    <n v="0"/>
    <n v="0"/>
    <n v="88200"/>
    <n v="59999.999999999993"/>
    <m/>
    <n v="998200"/>
    <n v="910000"/>
    <n v="36400"/>
    <n v="36400"/>
    <n v="0"/>
    <n v="59500.000000000007"/>
    <n v="17000"/>
    <n v="149300"/>
    <n v="848900"/>
  </r>
  <r>
    <x v="2"/>
    <x v="2"/>
    <x v="2"/>
    <n v="30"/>
    <n v="36666.666666666664"/>
    <n v="1100000"/>
    <n v="0"/>
    <n v="0"/>
    <n v="0"/>
    <n v="0"/>
    <n v="0"/>
    <n v="0"/>
    <n v="0"/>
    <n v="0"/>
    <n v="0"/>
    <n v="88200"/>
    <n v="0"/>
    <n v="40000"/>
    <n v="1228200"/>
    <n v="1140000"/>
    <n v="45600"/>
    <n v="45600"/>
    <n v="0"/>
    <n v="110000"/>
    <n v="22000"/>
    <n v="223200"/>
    <n v="1005000"/>
  </r>
  <r>
    <x v="3"/>
    <x v="3"/>
    <x v="3"/>
    <n v="30"/>
    <n v="26041.4"/>
    <n v="781242"/>
    <n v="5"/>
    <n v="4"/>
    <n v="2"/>
    <n v="1"/>
    <n v="20344.84375"/>
    <n v="22786.225000000002"/>
    <n v="14648.2875"/>
    <n v="8951.7312500000007"/>
    <n v="66731.087500000009"/>
    <n v="88200"/>
    <n v="0"/>
    <n v="1.4999999999999998E-6"/>
    <n v="936173.08750150003"/>
    <n v="847973.08750150003"/>
    <n v="33918.923500060002"/>
    <n v="33918.923500060002"/>
    <n v="0"/>
    <n v="31249.68"/>
    <n v="3906.21"/>
    <n v="102993.73700012"/>
    <n v="833179.35050138005"/>
  </r>
  <r>
    <x v="4"/>
    <x v="4"/>
    <x v="4"/>
    <n v="30"/>
    <n v="31666.666666666668"/>
    <n v="950000"/>
    <n v="0"/>
    <n v="0"/>
    <n v="0"/>
    <n v="0"/>
    <n v="0"/>
    <n v="0"/>
    <n v="0"/>
    <n v="0"/>
    <n v="0"/>
    <n v="88200"/>
    <n v="0"/>
    <n v="40000"/>
    <n v="1078200"/>
    <n v="990000"/>
    <n v="39600"/>
    <n v="39600"/>
    <n v="0"/>
    <n v="66500"/>
    <n v="19000"/>
    <n v="164700"/>
    <n v="913500"/>
  </r>
  <r>
    <x v="5"/>
    <x v="5"/>
    <x v="1"/>
    <n v="30"/>
    <n v="28333.333333333332"/>
    <n v="850000"/>
    <n v="0"/>
    <n v="0"/>
    <n v="0"/>
    <n v="0"/>
    <n v="0"/>
    <n v="0"/>
    <n v="0"/>
    <n v="0"/>
    <n v="0"/>
    <n v="88200"/>
    <n v="59999.999999999993"/>
    <n v="0"/>
    <n v="998200"/>
    <n v="910000"/>
    <n v="36400"/>
    <n v="36400"/>
    <n v="0"/>
    <n v="59500.000000000007"/>
    <n v="17000"/>
    <n v="149300"/>
    <n v="848900"/>
  </r>
  <r>
    <x v="6"/>
    <x v="6"/>
    <x v="5"/>
    <n v="30"/>
    <n v="26041.4"/>
    <n v="781242"/>
    <n v="0"/>
    <n v="0"/>
    <n v="0"/>
    <n v="0"/>
    <n v="0"/>
    <n v="0"/>
    <n v="0"/>
    <n v="0"/>
    <n v="0"/>
    <n v="88200"/>
    <n v="0"/>
    <n v="0"/>
    <n v="869442"/>
    <n v="781242"/>
    <n v="31249.68"/>
    <n v="31249.68"/>
    <n v="0"/>
    <n v="31249.68"/>
    <n v="3906.21"/>
    <n v="97655.250000000015"/>
    <n v="771786.75"/>
  </r>
  <r>
    <x v="7"/>
    <x v="7"/>
    <x v="1"/>
    <n v="25"/>
    <n v="28333.333333333332"/>
    <n v="850000"/>
    <n v="0"/>
    <n v="0"/>
    <n v="0"/>
    <n v="0"/>
    <n v="0"/>
    <n v="0"/>
    <n v="0"/>
    <n v="0"/>
    <n v="0"/>
    <n v="73500"/>
    <n v="59999.999999999993"/>
    <n v="0"/>
    <n v="983500"/>
    <n v="910000"/>
    <n v="36400"/>
    <n v="36400"/>
    <n v="0"/>
    <n v="59500.000000000007"/>
    <n v="17000"/>
    <n v="149300"/>
    <n v="834200"/>
  </r>
  <r>
    <x v="8"/>
    <x v="8"/>
    <x v="4"/>
    <n v="25"/>
    <n v="31666.666666666668"/>
    <n v="950000"/>
    <n v="0"/>
    <n v="0"/>
    <n v="0"/>
    <n v="0"/>
    <n v="0"/>
    <n v="0"/>
    <n v="0"/>
    <n v="0"/>
    <n v="0"/>
    <n v="73500"/>
    <n v="0"/>
    <n v="40000"/>
    <n v="1063500"/>
    <n v="990000"/>
    <n v="39600"/>
    <n v="39600"/>
    <n v="0"/>
    <n v="66500"/>
    <n v="19000"/>
    <n v="164700"/>
    <n v="898800"/>
  </r>
  <r>
    <x v="9"/>
    <x v="9"/>
    <x v="0"/>
    <n v="30"/>
    <n v="30000"/>
    <n v="900000"/>
    <n v="0"/>
    <n v="0"/>
    <n v="0"/>
    <n v="0"/>
    <n v="0"/>
    <n v="0"/>
    <n v="0"/>
    <n v="0"/>
    <n v="0"/>
    <n v="88200"/>
    <n v="0"/>
    <n v="40000"/>
    <n v="1028200"/>
    <n v="940000"/>
    <n v="37600"/>
    <n v="37600"/>
    <n v="0"/>
    <n v="63000.000000000007"/>
    <n v="18000"/>
    <n v="156200"/>
    <n v="872000"/>
  </r>
  <r>
    <x v="10"/>
    <x v="10"/>
    <x v="2"/>
    <n v="30"/>
    <n v="36666.666666666664"/>
    <n v="1100000"/>
    <n v="0"/>
    <n v="0"/>
    <n v="0"/>
    <n v="0"/>
    <n v="0"/>
    <n v="0"/>
    <n v="0"/>
    <n v="0"/>
    <n v="0"/>
    <n v="88200"/>
    <n v="0"/>
    <n v="40000"/>
    <n v="1228200"/>
    <n v="1140000"/>
    <n v="45600"/>
    <n v="45600"/>
    <n v="0"/>
    <n v="110000"/>
    <n v="22000"/>
    <n v="223200"/>
    <n v="1005000"/>
  </r>
  <r>
    <x v="11"/>
    <x v="11"/>
    <x v="6"/>
    <n v="30"/>
    <n v="26041.4"/>
    <n v="781242"/>
    <n v="5"/>
    <n v="4"/>
    <n v="2"/>
    <n v="1"/>
    <n v="20344.84375"/>
    <n v="22786.225000000002"/>
    <n v="14648.2875"/>
    <n v="8951.7312500000007"/>
    <n v="66731.087500000009"/>
    <n v="88200"/>
    <n v="0"/>
    <n v="0"/>
    <n v="936173.08750000002"/>
    <n v="847973.08750000002"/>
    <n v="33918.923500000004"/>
    <n v="33918.923500000004"/>
    <n v="0"/>
    <n v="31249.68"/>
    <n v="3906.21"/>
    <n v="102993.73700000001"/>
    <n v="833179.35050000006"/>
  </r>
  <r>
    <x v="12"/>
    <x v="12"/>
    <x v="7"/>
    <n v="30"/>
    <n v="300000"/>
    <n v="9000000"/>
    <n v="0"/>
    <n v="0"/>
    <n v="0"/>
    <n v="0"/>
    <n v="0"/>
    <n v="0"/>
    <n v="0"/>
    <n v="0"/>
    <n v="0"/>
    <n v="0"/>
    <n v="0"/>
    <n v="40000"/>
    <n v="9040000"/>
    <n v="9040000"/>
    <n v="253120"/>
    <n v="253120"/>
    <n v="63000"/>
    <n v="630000"/>
    <n v="125999.99999999999"/>
    <n v="1325240"/>
    <n v="7714760"/>
  </r>
  <r>
    <x v="13"/>
    <x v="13"/>
    <x v="2"/>
    <n v="30"/>
    <n v="36666.666666666664"/>
    <n v="1100000"/>
    <n v="0"/>
    <n v="0"/>
    <n v="0"/>
    <n v="0"/>
    <n v="0"/>
    <n v="0"/>
    <n v="0"/>
    <n v="0"/>
    <n v="0"/>
    <n v="88200"/>
    <n v="0"/>
    <n v="40000"/>
    <n v="1228200"/>
    <n v="1140000"/>
    <n v="45600"/>
    <n v="45600"/>
    <n v="0"/>
    <n v="110000"/>
    <n v="22000"/>
    <n v="223200"/>
    <n v="1005000"/>
  </r>
  <r>
    <x v="14"/>
    <x v="14"/>
    <x v="1"/>
    <n v="30"/>
    <n v="28333.333333333332"/>
    <n v="850000"/>
    <n v="0"/>
    <n v="0"/>
    <n v="0"/>
    <n v="0"/>
    <n v="0"/>
    <n v="0"/>
    <n v="0"/>
    <n v="0"/>
    <n v="0"/>
    <n v="88200"/>
    <n v="59999.999999999993"/>
    <n v="0"/>
    <n v="998200"/>
    <n v="910000"/>
    <n v="36400"/>
    <n v="36400"/>
    <n v="0"/>
    <n v="59500.000000000007"/>
    <n v="17000"/>
    <n v="149300"/>
    <n v="848900"/>
  </r>
  <r>
    <x v="15"/>
    <x v="15"/>
    <x v="6"/>
    <n v="30"/>
    <n v="26041.4"/>
    <n v="781242"/>
    <n v="5"/>
    <n v="4"/>
    <n v="2"/>
    <n v="1"/>
    <n v="20344.84375"/>
    <n v="22786.225000000002"/>
    <n v="14648.2875"/>
    <n v="8951.7312500000007"/>
    <n v="66731.087500000009"/>
    <n v="88200"/>
    <n v="0"/>
    <n v="0"/>
    <n v="936173.08750000002"/>
    <n v="847973.08750000002"/>
    <n v="33918.923500000004"/>
    <n v="33918.923500000004"/>
    <n v="0"/>
    <n v="31249.68"/>
    <n v="3906.21"/>
    <n v="102993.73700000001"/>
    <n v="833179.35050000006"/>
  </r>
  <r>
    <x v="16"/>
    <x v="16"/>
    <x v="2"/>
    <n v="30"/>
    <n v="36666.666666666664"/>
    <n v="1100000"/>
    <n v="0"/>
    <n v="0"/>
    <n v="0"/>
    <n v="0"/>
    <n v="0"/>
    <n v="0"/>
    <n v="0"/>
    <n v="0"/>
    <n v="0"/>
    <n v="88200"/>
    <n v="0"/>
    <n v="40000"/>
    <n v="1228200"/>
    <n v="1140000"/>
    <n v="45600"/>
    <n v="45600"/>
    <n v="0"/>
    <n v="110000"/>
    <n v="22000"/>
    <n v="223200"/>
    <n v="1005000"/>
  </r>
  <r>
    <x v="17"/>
    <x v="17"/>
    <x v="0"/>
    <n v="30"/>
    <n v="30000"/>
    <n v="900000"/>
    <n v="0"/>
    <n v="0"/>
    <n v="0"/>
    <n v="0"/>
    <n v="0"/>
    <n v="0"/>
    <n v="0"/>
    <n v="0"/>
    <n v="0"/>
    <n v="88200"/>
    <n v="0"/>
    <n v="40000"/>
    <n v="1028200"/>
    <n v="940000"/>
    <n v="37600"/>
    <n v="37600"/>
    <n v="0"/>
    <n v="63000.000000000007"/>
    <n v="18000"/>
    <n v="156200"/>
    <n v="872000"/>
  </r>
  <r>
    <x v="18"/>
    <x v="18"/>
    <x v="1"/>
    <n v="30"/>
    <n v="28333.333333333332"/>
    <n v="850000"/>
    <n v="0"/>
    <n v="0"/>
    <n v="0"/>
    <n v="0"/>
    <n v="0"/>
    <n v="0"/>
    <n v="0"/>
    <n v="0"/>
    <n v="0"/>
    <n v="88200"/>
    <n v="59999.999999999993"/>
    <n v="0"/>
    <n v="998200"/>
    <n v="910000"/>
    <n v="36400"/>
    <n v="36400"/>
    <n v="0"/>
    <n v="59500.000000000007"/>
    <n v="17000"/>
    <n v="149300"/>
    <n v="848900"/>
  </r>
  <r>
    <x v="19"/>
    <x v="19"/>
    <x v="2"/>
    <n v="30"/>
    <n v="36666.666666666664"/>
    <n v="1100000"/>
    <n v="0"/>
    <n v="0"/>
    <n v="0"/>
    <n v="0"/>
    <n v="0"/>
    <n v="0"/>
    <n v="0"/>
    <n v="0"/>
    <n v="0"/>
    <n v="88200"/>
    <n v="0"/>
    <n v="40000"/>
    <n v="1228200"/>
    <n v="1140000"/>
    <n v="45600"/>
    <n v="45600"/>
    <n v="0"/>
    <n v="110000"/>
    <n v="22000"/>
    <n v="223200"/>
    <n v="1005000"/>
  </r>
  <r>
    <x v="20"/>
    <x v="20"/>
    <x v="6"/>
    <n v="30"/>
    <n v="26041.4"/>
    <n v="781242"/>
    <n v="5"/>
    <n v="4"/>
    <n v="2"/>
    <n v="1"/>
    <n v="20344.84375"/>
    <n v="22786.225000000002"/>
    <n v="14648.2875"/>
    <n v="8951.7312500000007"/>
    <n v="66731.087500000009"/>
    <n v="88200"/>
    <n v="0"/>
    <n v="0"/>
    <n v="936173.08750000002"/>
    <n v="847973.08750000002"/>
    <n v="33918.923500000004"/>
    <n v="33918.923500000004"/>
    <n v="0"/>
    <n v="31249.68"/>
    <n v="3906.21"/>
    <n v="102993.73700000001"/>
    <n v="833179.35050000006"/>
  </r>
  <r>
    <x v="21"/>
    <x v="21"/>
    <x v="8"/>
    <n v="30"/>
    <n v="30000"/>
    <n v="900000"/>
    <n v="0"/>
    <n v="0"/>
    <n v="0"/>
    <n v="0"/>
    <n v="0"/>
    <n v="0"/>
    <n v="0"/>
    <n v="0"/>
    <n v="0"/>
    <n v="88200"/>
    <n v="0"/>
    <n v="40000"/>
    <n v="1028200"/>
    <n v="940000"/>
    <n v="37600"/>
    <n v="37600"/>
    <n v="0"/>
    <n v="63000.000000000007"/>
    <n v="18000"/>
    <n v="156200"/>
    <n v="872000"/>
  </r>
  <r>
    <x v="22"/>
    <x v="22"/>
    <x v="3"/>
    <n v="30"/>
    <n v="26041.4"/>
    <n v="781242"/>
    <n v="5"/>
    <n v="4"/>
    <n v="2"/>
    <n v="1"/>
    <n v="20344.84375"/>
    <n v="22786.225000000002"/>
    <n v="14648.2875"/>
    <n v="8951.7312500000007"/>
    <n v="66731.087500000009"/>
    <n v="88200"/>
    <n v="0"/>
    <n v="0"/>
    <n v="936173.08750000002"/>
    <n v="847973.08750000002"/>
    <n v="33918.923500000004"/>
    <n v="33918.923500000004"/>
    <n v="0"/>
    <n v="31249.68"/>
    <n v="3906.21"/>
    <n v="102993.73700000001"/>
    <n v="833179.35050000006"/>
  </r>
  <r>
    <x v="23"/>
    <x v="23"/>
    <x v="4"/>
    <n v="30"/>
    <n v="31666.666666666668"/>
    <n v="950000"/>
    <n v="0"/>
    <n v="0"/>
    <n v="0"/>
    <n v="0"/>
    <n v="0"/>
    <n v="0"/>
    <n v="0"/>
    <n v="0"/>
    <n v="0"/>
    <n v="88200"/>
    <n v="0"/>
    <n v="40000"/>
    <n v="1078200"/>
    <n v="990000"/>
    <n v="39600"/>
    <n v="39600"/>
    <n v="0"/>
    <n v="66500"/>
    <n v="19000"/>
    <n v="164700"/>
    <n v="913500"/>
  </r>
  <r>
    <x v="24"/>
    <x v="24"/>
    <x v="6"/>
    <n v="30"/>
    <n v="26041.4"/>
    <n v="781242"/>
    <n v="5"/>
    <n v="4"/>
    <n v="2"/>
    <n v="1"/>
    <n v="20344.84375"/>
    <n v="22786.225000000002"/>
    <n v="14648.2875"/>
    <n v="8951.7312500000007"/>
    <n v="66731.087500000009"/>
    <n v="88200"/>
    <n v="0"/>
    <n v="0"/>
    <n v="936173.08750000002"/>
    <n v="847973.08750000002"/>
    <n v="33918.923500000004"/>
    <n v="33918.923500000004"/>
    <n v="0"/>
    <n v="31249.68"/>
    <n v="3906.21"/>
    <n v="102993.73700000001"/>
    <n v="833179.35050000006"/>
  </r>
  <r>
    <x v="25"/>
    <x v="25"/>
    <x v="6"/>
    <n v="30"/>
    <n v="26041.4"/>
    <n v="781242"/>
    <n v="5"/>
    <n v="4"/>
    <n v="2"/>
    <n v="1"/>
    <n v="20344.84375"/>
    <n v="22786.225000000002"/>
    <n v="14648.2875"/>
    <n v="8951.7312500000007"/>
    <n v="66731.087500000009"/>
    <n v="88200"/>
    <n v="0"/>
    <n v="0"/>
    <n v="936173.08750000002"/>
    <n v="847973.08750000002"/>
    <n v="33918.923500000004"/>
    <n v="33918.923500000004"/>
    <n v="0"/>
    <n v="31249.68"/>
    <n v="3906.21"/>
    <n v="102993.73700000001"/>
    <n v="833179.35050000006"/>
  </r>
  <r>
    <x v="26"/>
    <x v="26"/>
    <x v="6"/>
    <n v="30"/>
    <n v="26041.4"/>
    <n v="781242"/>
    <n v="5"/>
    <n v="4"/>
    <n v="2"/>
    <n v="1"/>
    <n v="20344.84375"/>
    <n v="22786.225000000002"/>
    <n v="14648.2875"/>
    <n v="8951.7312500000007"/>
    <n v="66731.087500000009"/>
    <n v="88200"/>
    <n v="0"/>
    <n v="0"/>
    <n v="936173.08750000002"/>
    <n v="847973.08750000002"/>
    <n v="33918.923500000004"/>
    <n v="33918.923500000004"/>
    <n v="0"/>
    <n v="31249.68"/>
    <n v="3906.21"/>
    <n v="102993.73700000001"/>
    <n v="833179.35050000006"/>
  </r>
  <r>
    <x v="27"/>
    <x v="27"/>
    <x v="2"/>
    <n v="30"/>
    <n v="36666.666666666664"/>
    <n v="1100000"/>
    <n v="0"/>
    <n v="0"/>
    <n v="0"/>
    <n v="0"/>
    <n v="0"/>
    <n v="0"/>
    <n v="0"/>
    <n v="0"/>
    <n v="0"/>
    <n v="88200"/>
    <n v="0"/>
    <n v="40000"/>
    <n v="1228200"/>
    <n v="1140000"/>
    <n v="45600"/>
    <n v="45600"/>
    <n v="0"/>
    <n v="110000"/>
    <n v="22000"/>
    <n v="223200"/>
    <n v="1005000"/>
  </r>
  <r>
    <x v="28"/>
    <x v="28"/>
    <x v="2"/>
    <n v="30"/>
    <n v="36666.666666666664"/>
    <n v="1100000"/>
    <n v="0"/>
    <n v="0"/>
    <n v="0"/>
    <n v="0"/>
    <n v="0"/>
    <n v="0"/>
    <n v="0"/>
    <n v="0"/>
    <n v="0"/>
    <n v="88200"/>
    <n v="0"/>
    <n v="40000"/>
    <n v="1228200"/>
    <n v="1140000"/>
    <n v="45600"/>
    <n v="45600"/>
    <n v="0"/>
    <n v="110000"/>
    <n v="22000"/>
    <n v="223200"/>
    <n v="1005000"/>
  </r>
  <r>
    <x v="29"/>
    <x v="29"/>
    <x v="8"/>
    <n v="30"/>
    <n v="30000"/>
    <n v="900000"/>
    <n v="0"/>
    <n v="0"/>
    <n v="0"/>
    <n v="0"/>
    <n v="0"/>
    <n v="0"/>
    <n v="0"/>
    <n v="0"/>
    <n v="0"/>
    <n v="88200"/>
    <n v="0"/>
    <n v="40000"/>
    <n v="1028200"/>
    <n v="940000"/>
    <n v="37600"/>
    <n v="37600"/>
    <n v="0"/>
    <n v="63000.000000000007"/>
    <n v="18000"/>
    <n v="156200"/>
    <n v="872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DDAA9FC-8EE0-4368-8F5E-82067F4075B3}" name="TablaDinámica1" cacheId="6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3:A103" firstHeaderRow="1" firstDataRow="1" firstDataCol="1"/>
  <pivotFields count="27">
    <pivotField axis="axisRow" showAll="0" countASubtotal="1" countSubtotal="1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t="count"/>
        <item t="countA"/>
      </items>
    </pivotField>
    <pivotField showAll="0">
      <items count="31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8"/>
        <item x="17"/>
        <item x="19"/>
        <item x="20"/>
        <item x="21"/>
        <item x="22"/>
        <item x="23"/>
        <item x="24"/>
        <item x="0"/>
        <item x="25"/>
        <item x="26"/>
        <item x="27"/>
        <item x="28"/>
        <item x="29"/>
        <item t="default"/>
      </items>
    </pivotField>
    <pivotField axis="axisRow" showAll="0" defaultSubtotal="0">
      <items count="9">
        <item x="5"/>
        <item x="2"/>
        <item x="0"/>
        <item x="8"/>
        <item x="7"/>
        <item x="6"/>
        <item x="3"/>
        <item x="4"/>
        <item x="1"/>
      </items>
    </pivotField>
    <pivotField showAll="0"/>
    <pivotField numFmtId="164" showAll="0"/>
    <pivotField numFmtId="164" showAll="0"/>
    <pivotField showAll="0"/>
    <pivotField showAll="0"/>
    <pivotField showAll="0"/>
    <pivotField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</pivotFields>
  <rowFields count="2">
    <field x="2"/>
    <field x="0"/>
  </rowFields>
  <rowItems count="100">
    <i>
      <x/>
    </i>
    <i r="1">
      <x v="6"/>
    </i>
    <i>
      <x v="1"/>
    </i>
    <i r="1">
      <x v="2"/>
    </i>
    <i r="1">
      <x v="10"/>
    </i>
    <i r="1">
      <x v="13"/>
    </i>
    <i r="1">
      <x v="16"/>
    </i>
    <i r="1">
      <x v="19"/>
    </i>
    <i r="1">
      <x v="27"/>
    </i>
    <i r="1">
      <x v="28"/>
    </i>
    <i>
      <x v="2"/>
    </i>
    <i r="1">
      <x/>
    </i>
    <i r="1">
      <x v="9"/>
    </i>
    <i r="1">
      <x v="17"/>
    </i>
    <i>
      <x v="3"/>
    </i>
    <i r="1">
      <x v="21"/>
    </i>
    <i r="1">
      <x v="29"/>
    </i>
    <i>
      <x v="4"/>
    </i>
    <i r="1">
      <x v="12"/>
    </i>
    <i>
      <x v="5"/>
    </i>
    <i r="1">
      <x v="11"/>
    </i>
    <i r="1">
      <x v="15"/>
    </i>
    <i r="1">
      <x v="20"/>
    </i>
    <i r="1">
      <x v="24"/>
    </i>
    <i r="1">
      <x v="25"/>
    </i>
    <i r="1">
      <x v="26"/>
    </i>
    <i>
      <x v="6"/>
    </i>
    <i r="1">
      <x v="3"/>
    </i>
    <i r="1">
      <x v="22"/>
    </i>
    <i>
      <x v="7"/>
    </i>
    <i r="1">
      <x v="4"/>
    </i>
    <i r="1">
      <x v="8"/>
    </i>
    <i r="1">
      <x v="23"/>
    </i>
    <i>
      <x v="8"/>
    </i>
    <i r="1">
      <x v="1"/>
    </i>
    <i r="1">
      <x v="5"/>
    </i>
    <i r="1">
      <x v="7"/>
    </i>
    <i r="1">
      <x v="14"/>
    </i>
    <i r="1">
      <x v="18"/>
    </i>
    <i t="countA">
      <x v="1048832"/>
      <x/>
    </i>
    <i t="count" r="1">
      <x/>
    </i>
    <i t="countA" r="1">
      <x v="1"/>
    </i>
    <i t="count" r="1">
      <x v="1"/>
    </i>
    <i t="countA" r="1">
      <x v="2"/>
    </i>
    <i t="count" r="1">
      <x v="2"/>
    </i>
    <i t="countA" r="1">
      <x v="3"/>
    </i>
    <i t="count" r="1">
      <x v="3"/>
    </i>
    <i t="countA" r="1">
      <x v="4"/>
    </i>
    <i t="count" r="1">
      <x v="4"/>
    </i>
    <i t="countA" r="1">
      <x v="5"/>
    </i>
    <i t="count" r="1">
      <x v="5"/>
    </i>
    <i t="countA" r="1">
      <x v="6"/>
    </i>
    <i t="count" r="1">
      <x v="6"/>
    </i>
    <i t="countA" r="1">
      <x v="7"/>
    </i>
    <i t="count" r="1">
      <x v="7"/>
    </i>
    <i t="countA" r="1">
      <x v="8"/>
    </i>
    <i t="count" r="1">
      <x v="8"/>
    </i>
    <i t="countA" r="1">
      <x v="9"/>
    </i>
    <i t="count" r="1">
      <x v="9"/>
    </i>
    <i t="countA" r="1">
      <x v="10"/>
    </i>
    <i t="count" r="1">
      <x v="10"/>
    </i>
    <i t="countA" r="1">
      <x v="11"/>
    </i>
    <i t="count" r="1">
      <x v="11"/>
    </i>
    <i t="countA" r="1">
      <x v="12"/>
    </i>
    <i t="count" r="1">
      <x v="12"/>
    </i>
    <i t="countA" r="1">
      <x v="13"/>
    </i>
    <i t="count" r="1">
      <x v="13"/>
    </i>
    <i t="countA" r="1">
      <x v="14"/>
    </i>
    <i t="count" r="1">
      <x v="14"/>
    </i>
    <i t="countA" r="1">
      <x v="15"/>
    </i>
    <i t="count" r="1">
      <x v="15"/>
    </i>
    <i t="countA" r="1">
      <x v="16"/>
    </i>
    <i t="count" r="1">
      <x v="16"/>
    </i>
    <i t="countA" r="1">
      <x v="17"/>
    </i>
    <i t="count" r="1">
      <x v="17"/>
    </i>
    <i t="countA" r="1">
      <x v="18"/>
    </i>
    <i t="count" r="1">
      <x v="18"/>
    </i>
    <i t="countA" r="1">
      <x v="19"/>
    </i>
    <i t="count" r="1">
      <x v="19"/>
    </i>
    <i t="countA" r="1">
      <x v="20"/>
    </i>
    <i t="count" r="1">
      <x v="20"/>
    </i>
    <i t="countA" r="1">
      <x v="21"/>
    </i>
    <i t="count" r="1">
      <x v="21"/>
    </i>
    <i t="countA" r="1">
      <x v="22"/>
    </i>
    <i t="count" r="1">
      <x v="22"/>
    </i>
    <i t="countA" r="1">
      <x v="23"/>
    </i>
    <i t="count" r="1">
      <x v="23"/>
    </i>
    <i t="countA" r="1">
      <x v="24"/>
    </i>
    <i t="count" r="1">
      <x v="24"/>
    </i>
    <i t="countA" r="1">
      <x v="25"/>
    </i>
    <i t="count" r="1">
      <x v="25"/>
    </i>
    <i t="countA" r="1">
      <x v="26"/>
    </i>
    <i t="count" r="1">
      <x v="26"/>
    </i>
    <i t="countA" r="1">
      <x v="27"/>
    </i>
    <i t="count" r="1">
      <x v="27"/>
    </i>
    <i t="countA" r="1">
      <x v="28"/>
    </i>
    <i t="count" r="1">
      <x v="28"/>
    </i>
    <i t="countA" r="1">
      <x v="29"/>
    </i>
    <i t="count" r="1">
      <x v="29"/>
    </i>
    <i t="grand">
      <x/>
    </i>
  </rowItems>
  <colItems count="1">
    <i/>
  </colItems>
  <formats count="17">
    <format dxfId="16">
      <pivotArea type="all" dataOnly="0" outline="0" fieldPosition="0"/>
    </format>
    <format dxfId="15">
      <pivotArea field="2" type="button" dataOnly="0" labelOnly="1" outline="0" axis="axisRow" fieldPosition="0"/>
    </format>
    <format dxfId="14">
      <pivotArea dataOnly="0" labelOnly="1" fieldPosition="0">
        <references count="1">
          <reference field="2" count="0"/>
        </references>
      </pivotArea>
    </format>
    <format dxfId="13">
      <pivotArea dataOnly="0" labelOnly="1" grandRow="1" outline="0" fieldPosition="0"/>
    </format>
    <format dxfId="12">
      <pivotArea dataOnly="0" labelOnly="1" fieldPosition="0">
        <references count="2">
          <reference field="0" count="1">
            <x v="6"/>
          </reference>
          <reference field="2" count="1" selected="0">
            <x v="0"/>
          </reference>
        </references>
      </pivotArea>
    </format>
    <format dxfId="11">
      <pivotArea dataOnly="0" labelOnly="1" fieldPosition="0">
        <references count="2">
          <reference field="0" count="7">
            <x v="2"/>
            <x v="10"/>
            <x v="13"/>
            <x v="16"/>
            <x v="19"/>
            <x v="27"/>
            <x v="28"/>
          </reference>
          <reference field="2" count="1" selected="0">
            <x v="1"/>
          </reference>
        </references>
      </pivotArea>
    </format>
    <format dxfId="10">
      <pivotArea dataOnly="0" labelOnly="1" fieldPosition="0">
        <references count="2">
          <reference field="0" count="3">
            <x v="0"/>
            <x v="9"/>
            <x v="17"/>
          </reference>
          <reference field="2" count="1" selected="0">
            <x v="2"/>
          </reference>
        </references>
      </pivotArea>
    </format>
    <format dxfId="9">
      <pivotArea dataOnly="0" labelOnly="1" fieldPosition="0">
        <references count="2">
          <reference field="0" count="2">
            <x v="21"/>
            <x v="29"/>
          </reference>
          <reference field="2" count="1" selected="0">
            <x v="3"/>
          </reference>
        </references>
      </pivotArea>
    </format>
    <format dxfId="8">
      <pivotArea dataOnly="0" labelOnly="1" fieldPosition="0">
        <references count="2">
          <reference field="0" count="1">
            <x v="12"/>
          </reference>
          <reference field="2" count="1" selected="0">
            <x v="4"/>
          </reference>
        </references>
      </pivotArea>
    </format>
    <format dxfId="7">
      <pivotArea dataOnly="0" labelOnly="1" fieldPosition="0">
        <references count="2">
          <reference field="0" count="6">
            <x v="11"/>
            <x v="15"/>
            <x v="20"/>
            <x v="24"/>
            <x v="25"/>
            <x v="26"/>
          </reference>
          <reference field="2" count="1" selected="0">
            <x v="5"/>
          </reference>
        </references>
      </pivotArea>
    </format>
    <format dxfId="6">
      <pivotArea dataOnly="0" labelOnly="1" fieldPosition="0">
        <references count="2">
          <reference field="0" count="2">
            <x v="3"/>
            <x v="22"/>
          </reference>
          <reference field="2" count="1" selected="0">
            <x v="6"/>
          </reference>
        </references>
      </pivotArea>
    </format>
    <format dxfId="5">
      <pivotArea dataOnly="0" labelOnly="1" fieldPosition="0">
        <references count="2">
          <reference field="0" count="3">
            <x v="4"/>
            <x v="8"/>
            <x v="23"/>
          </reference>
          <reference field="2" count="1" selected="0">
            <x v="7"/>
          </reference>
        </references>
      </pivotArea>
    </format>
    <format dxfId="4">
      <pivotArea dataOnly="0" labelOnly="1" fieldPosition="0">
        <references count="2">
          <reference field="0" count="5">
            <x v="1"/>
            <x v="5"/>
            <x v="7"/>
            <x v="14"/>
            <x v="18"/>
          </reference>
          <reference field="2" count="1" selected="0">
            <x v="8"/>
          </reference>
        </references>
      </pivotArea>
    </format>
    <format dxfId="3">
      <pivotArea dataOnly="0" labelOnly="1" fieldPosition="0">
        <references count="1">
          <reference field="0" count="25" countASubtotal="1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</reference>
        </references>
      </pivotArea>
    </format>
    <format dxfId="2">
      <pivotArea dataOnly="0" labelOnly="1" fieldPosition="0">
        <references count="1">
          <reference field="0" count="25" countSubtotal="1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</reference>
        </references>
      </pivotArea>
    </format>
    <format dxfId="1">
      <pivotArea dataOnly="0" labelOnly="1" fieldPosition="0">
        <references count="1">
          <reference field="0" count="5" countASubtotal="1">
            <x v="25"/>
            <x v="26"/>
            <x v="27"/>
            <x v="28"/>
            <x v="29"/>
          </reference>
        </references>
      </pivotArea>
    </format>
    <format dxfId="0">
      <pivotArea dataOnly="0" labelOnly="1" fieldPosition="0">
        <references count="1">
          <reference field="0" count="5" countSubtotal="1">
            <x v="25"/>
            <x v="26"/>
            <x v="27"/>
            <x v="28"/>
            <x v="2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C9B84BB-1564-48E3-BA35-C0B34BE1A3EA}" name="Tabla1" displayName="Tabla1" ref="A12:AA42" totalsRowShown="0" headerRowDxfId="47" dataDxfId="45" headerRowBorderDxfId="46" tableBorderDxfId="44" dataCellStyle="Moneda">
  <autoFilter ref="A12:AA42" xr:uid="{4ADCADA3-D55D-4A65-8C93-5E68D8C7A63C}"/>
  <tableColumns count="27">
    <tableColumn id="1" xr3:uid="{C5A163F0-C656-4EB9-972B-C937666AAF0B}" name="EMPLEADO" dataDxfId="43"/>
    <tableColumn id="2" xr3:uid="{6D455B82-2176-436B-BE3F-9D763D102DE5}" name="EMPLEADO2" dataDxfId="42">
      <calculatedColumnFormula>IF(ISBLANK(A13),"",IF(ISERROR(VLOOKUP(A13,bdempleados,2,FALSE)),"EL DATO NO EXISTE",VLOOKUP(A13,bdempleados,2,FALSE)))</calculatedColumnFormula>
    </tableColumn>
    <tableColumn id="3" xr3:uid="{8F9E54EE-7F25-4013-AAF2-44080C0A6521}" name="CARGO DEL EMPLEADO" dataDxfId="41">
      <calculatedColumnFormula>VLOOKUP(A13,bdempleados,3,FALSE)</calculatedColumnFormula>
    </tableColumn>
    <tableColumn id="4" xr3:uid="{1F805C3B-F8C5-4DAA-ACF4-775E73E72F15}" name="DÍAS" dataDxfId="40"/>
    <tableColumn id="5" xr3:uid="{41C99C6C-910E-4C8F-A0C5-A8EAD91998A5}" name="DIARIO" dataDxfId="39" dataCellStyle="Moneda">
      <calculatedColumnFormula>VLOOKUP(A13,bdempleados,5,FALSE)</calculatedColumnFormula>
    </tableColumn>
    <tableColumn id="6" xr3:uid="{170CF01A-AA5A-4169-BD09-D3A22D385718}" name="MENSUAL" dataDxfId="38" dataCellStyle="Moneda">
      <calculatedColumnFormula>E13*30</calculatedColumnFormula>
    </tableColumn>
    <tableColumn id="7" xr3:uid="{5936EE2C-461E-4B80-ACA0-0B5E26C46392}" name="DIURNA" dataDxfId="37">
      <calculatedColumnFormula>IF(OR(C13="OPERARIO",C13="OPERARIA"),5,0)</calculatedColumnFormula>
    </tableColumn>
    <tableColumn id="8" xr3:uid="{80D829B7-D484-4470-B51A-CA1850E88320}" name="NOCTURNA" dataDxfId="36">
      <calculatedColumnFormula>IF(OR(C13="OPERARIO",C13="OPERARIA"),4,0)</calculatedColumnFormula>
    </tableColumn>
    <tableColumn id="9" xr3:uid="{1F7518EA-23A9-4265-B36C-C6DD1595F79A}" name="FESTIVA  DIURNA" dataDxfId="35">
      <calculatedColumnFormula>IF(OR(C13="OPERARIO",C13="OPERARIA"),2,0)</calculatedColumnFormula>
    </tableColumn>
    <tableColumn id="10" xr3:uid="{7AED7BA4-382A-4345-B9BA-F266791A11D3}" name="FESTIVA  NOCTURNA" dataDxfId="34"/>
    <tableColumn id="11" xr3:uid="{01945360-4745-434C-876C-C3795787A1CA}" name="DIURNA3" dataDxfId="33" dataCellStyle="Moneda">
      <calculatedColumnFormula>F13/240*$U$47*G13</calculatedColumnFormula>
    </tableColumn>
    <tableColumn id="12" xr3:uid="{B5163F2F-97A7-4BAE-B8DE-3ED81734A4C4}" name="NOCTURNA4" dataDxfId="32" dataCellStyle="Moneda">
      <calculatedColumnFormula>F13/240*$U$48*H13</calculatedColumnFormula>
    </tableColumn>
    <tableColumn id="13" xr3:uid="{FA2C807E-5A46-4560-B47F-01F1D499C3B7}" name="FESTIVA DIURNA" dataDxfId="31" dataCellStyle="Moneda">
      <calculatedColumnFormula>F13/240*$U$49*I13</calculatedColumnFormula>
    </tableColumn>
    <tableColumn id="14" xr3:uid="{5B2E25C9-BCBC-425F-90C8-CCBE2226CBDC}" name="FESTIVA NOCTURNA" dataDxfId="30" dataCellStyle="Moneda">
      <calculatedColumnFormula>F13/240*$U$50*J13</calculatedColumnFormula>
    </tableColumn>
    <tableColumn id="15" xr3:uid="{78A0FC1B-FA95-460A-91C7-39ED2468CCE1}" name="EXTRAS" dataDxfId="29" dataCellStyle="Moneda">
      <calculatedColumnFormula>K13+L13+M13+N13</calculatedColumnFormula>
    </tableColumn>
    <tableColumn id="16" xr3:uid="{58A89EE7-5C45-4924-8F68-FB407E6CB738}" name="TRANSPORTE" dataDxfId="28" dataCellStyle="Moneda">
      <calculatedColumnFormula>IF(AND(D13&gt;30,F13&gt;$P$8),0,IF(AND(D13&lt;=30,F13&lt;=$P$8),D13*2940,0))</calculatedColumnFormula>
    </tableColumn>
    <tableColumn id="17" xr3:uid="{ABC3F54B-9B50-46CE-BD64-20AC5D87268D}" name="COMISIÓN" dataDxfId="27" dataCellStyle="Moneda">
      <calculatedColumnFormula>IF(C13="Vendedor",$O$52*0.03%,0)</calculatedColumnFormula>
    </tableColumn>
    <tableColumn id="18" xr3:uid="{C386D871-25CC-4205-8243-E508723C804A}" name="BONIFICACIÓN" dataDxfId="26" dataCellStyle="Moneda">
      <calculatedColumnFormula>IF(F13&gt;=900000,$O$52*$O$56,O52*$Q$56)</calculatedColumnFormula>
    </tableColumn>
    <tableColumn id="19" xr3:uid="{1E5D5A0B-E87C-475B-A4DF-0EDC7727FCD2}" name="DEVENGADO" dataDxfId="25" dataCellStyle="Moneda">
      <calculatedColumnFormula>F13+O13+P13+Q13+R13</calculatedColumnFormula>
    </tableColumn>
    <tableColumn id="20" xr3:uid="{F75235F2-4FA0-424E-A28B-3D2EBEA3F4D9}" name="DEVENGADO SIN AUXILIO" dataDxfId="24" dataCellStyle="Moneda">
      <calculatedColumnFormula>S13-P13</calculatedColumnFormula>
    </tableColumn>
    <tableColumn id="21" xr3:uid="{14E72291-7481-48D9-B7B1-EEE397753081}" name="EPS" dataDxfId="23" dataCellStyle="Moneda">
      <calculatedColumnFormula>T13*$O$48</calculatedColumnFormula>
    </tableColumn>
    <tableColumn id="22" xr3:uid="{9834D68C-F731-47DD-B37B-76326B66EB76}" name="FP" dataDxfId="22" dataCellStyle="Moneda">
      <calculatedColumnFormula>T13*$O$49</calculatedColumnFormula>
    </tableColumn>
    <tableColumn id="23" xr3:uid="{80A899AC-91EB-4680-B1B3-7EDB1AC99D45}" name="FS" dataDxfId="21" dataCellStyle="Moneda">
      <calculatedColumnFormula>IF(F13&gt;$R$8,F13*$O$50,0)</calculatedColumnFormula>
    </tableColumn>
    <tableColumn id="24" xr3:uid="{EA857788-3023-46FD-9006-5849237CCAFA}" name="COOPERATIVA" dataDxfId="20" dataCellStyle="Moneda">
      <calculatedColumnFormula>IF(AND(F13&gt;=850000,F13&lt;=1000000),F13*$Q$54,IF(AND(F13&gt;=1000001,F13&lt;=9000000),F13*$P$54,F13*$R$54))</calculatedColumnFormula>
    </tableColumn>
    <tableColumn id="25" xr3:uid="{7E4CB13B-C825-46B1-AE1C-01ED721B2FFF}" name="SINDICATO" dataDxfId="19" dataCellStyle="Moneda">
      <calculatedColumnFormula>IF(F13&lt;800000,F13*$O$55,F13*$P$55)</calculatedColumnFormula>
    </tableColumn>
    <tableColumn id="26" xr3:uid="{772D78AA-618D-4B4D-B01A-A82017FACF49}" name="DEDUCCIONES" dataDxfId="18" dataCellStyle="Moneda">
      <calculatedColumnFormula>U13+V13+W13+X13+Y13</calculatedColumnFormula>
    </tableColumn>
    <tableColumn id="27" xr3:uid="{54EB3A81-C900-4859-AEC9-1C47795FF985}" name="PAGADO" dataDxfId="17" dataCellStyle="Moneda">
      <calculatedColumnFormula>S13-Z13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66957-E4B6-403E-A10B-CE531DAF817B}">
  <dimension ref="A1:E33"/>
  <sheetViews>
    <sheetView workbookViewId="0">
      <selection activeCell="E10" sqref="E10"/>
    </sheetView>
  </sheetViews>
  <sheetFormatPr baseColWidth="10" defaultRowHeight="15" x14ac:dyDescent="0.25"/>
  <cols>
    <col min="4" max="4" width="14.7109375" bestFit="1" customWidth="1"/>
    <col min="5" max="5" width="13.140625" bestFit="1" customWidth="1"/>
  </cols>
  <sheetData>
    <row r="1" spans="1:5" x14ac:dyDescent="0.25">
      <c r="A1" s="206" t="s">
        <v>0</v>
      </c>
      <c r="B1" s="206" t="s">
        <v>1</v>
      </c>
      <c r="C1" s="206" t="s">
        <v>2</v>
      </c>
      <c r="D1" s="208" t="s">
        <v>3</v>
      </c>
      <c r="E1" s="206" t="s">
        <v>4</v>
      </c>
    </row>
    <row r="2" spans="1:5" x14ac:dyDescent="0.25">
      <c r="A2" s="207"/>
      <c r="B2" s="207"/>
      <c r="C2" s="207"/>
      <c r="D2" s="209"/>
      <c r="E2" s="207"/>
    </row>
    <row r="3" spans="1:5" x14ac:dyDescent="0.25">
      <c r="A3" s="207"/>
      <c r="B3" s="207"/>
      <c r="C3" s="207"/>
      <c r="D3" s="209"/>
      <c r="E3" s="207"/>
    </row>
    <row r="4" spans="1:5" x14ac:dyDescent="0.25">
      <c r="A4" s="1" t="s">
        <v>5</v>
      </c>
      <c r="B4" s="2" t="s">
        <v>6</v>
      </c>
      <c r="C4" s="3" t="s">
        <v>7</v>
      </c>
      <c r="D4" s="4">
        <v>900000</v>
      </c>
      <c r="E4" s="5">
        <f>D4/30</f>
        <v>30000</v>
      </c>
    </row>
    <row r="5" spans="1:5" x14ac:dyDescent="0.25">
      <c r="A5" s="1" t="s">
        <v>8</v>
      </c>
      <c r="B5" s="2" t="s">
        <v>9</v>
      </c>
      <c r="C5" s="3" t="s">
        <v>10</v>
      </c>
      <c r="D5" s="4">
        <v>850000</v>
      </c>
      <c r="E5" s="5">
        <f t="shared" ref="E5:E33" si="0">D5/30</f>
        <v>28333.333333333332</v>
      </c>
    </row>
    <row r="6" spans="1:5" x14ac:dyDescent="0.25">
      <c r="A6" s="1" t="s">
        <v>11</v>
      </c>
      <c r="B6" s="2" t="s">
        <v>12</v>
      </c>
      <c r="C6" s="3" t="s">
        <v>13</v>
      </c>
      <c r="D6" s="4">
        <v>1100000</v>
      </c>
      <c r="E6" s="5">
        <f t="shared" si="0"/>
        <v>36666.666666666664</v>
      </c>
    </row>
    <row r="7" spans="1:5" x14ac:dyDescent="0.25">
      <c r="A7" s="1" t="s">
        <v>14</v>
      </c>
      <c r="B7" s="2" t="s">
        <v>15</v>
      </c>
      <c r="C7" s="3" t="s">
        <v>16</v>
      </c>
      <c r="D7" s="4">
        <v>781242</v>
      </c>
      <c r="E7" s="5">
        <f t="shared" si="0"/>
        <v>26041.4</v>
      </c>
    </row>
    <row r="8" spans="1:5" x14ac:dyDescent="0.25">
      <c r="A8" s="1" t="s">
        <v>17</v>
      </c>
      <c r="B8" s="2" t="s">
        <v>18</v>
      </c>
      <c r="C8" s="3" t="s">
        <v>19</v>
      </c>
      <c r="D8" s="4">
        <v>950000</v>
      </c>
      <c r="E8" s="5">
        <f t="shared" si="0"/>
        <v>31666.666666666668</v>
      </c>
    </row>
    <row r="9" spans="1:5" x14ac:dyDescent="0.25">
      <c r="A9" s="1" t="s">
        <v>20</v>
      </c>
      <c r="B9" s="2" t="s">
        <v>21</v>
      </c>
      <c r="C9" s="3" t="s">
        <v>10</v>
      </c>
      <c r="D9" s="4">
        <v>850000</v>
      </c>
      <c r="E9" s="5">
        <f t="shared" si="0"/>
        <v>28333.333333333332</v>
      </c>
    </row>
    <row r="10" spans="1:5" x14ac:dyDescent="0.25">
      <c r="A10" s="1" t="s">
        <v>22</v>
      </c>
      <c r="B10" s="2" t="s">
        <v>23</v>
      </c>
      <c r="C10" s="3" t="s">
        <v>24</v>
      </c>
      <c r="D10" s="4">
        <v>781242</v>
      </c>
      <c r="E10" s="5">
        <f t="shared" si="0"/>
        <v>26041.4</v>
      </c>
    </row>
    <row r="11" spans="1:5" x14ac:dyDescent="0.25">
      <c r="A11" s="1" t="s">
        <v>25</v>
      </c>
      <c r="B11" s="2" t="s">
        <v>26</v>
      </c>
      <c r="C11" s="3" t="s">
        <v>10</v>
      </c>
      <c r="D11" s="4">
        <v>850000</v>
      </c>
      <c r="E11" s="5">
        <f t="shared" si="0"/>
        <v>28333.333333333332</v>
      </c>
    </row>
    <row r="12" spans="1:5" x14ac:dyDescent="0.25">
      <c r="A12" s="1" t="s">
        <v>27</v>
      </c>
      <c r="B12" s="2" t="s">
        <v>28</v>
      </c>
      <c r="C12" s="3" t="s">
        <v>19</v>
      </c>
      <c r="D12" s="4">
        <v>950000</v>
      </c>
      <c r="E12" s="5">
        <f t="shared" si="0"/>
        <v>31666.666666666668</v>
      </c>
    </row>
    <row r="13" spans="1:5" x14ac:dyDescent="0.25">
      <c r="A13" s="1" t="s">
        <v>29</v>
      </c>
      <c r="B13" s="2" t="s">
        <v>30</v>
      </c>
      <c r="C13" s="3" t="s">
        <v>7</v>
      </c>
      <c r="D13" s="4">
        <v>900000</v>
      </c>
      <c r="E13" s="5">
        <f t="shared" si="0"/>
        <v>30000</v>
      </c>
    </row>
    <row r="14" spans="1:5" x14ac:dyDescent="0.25">
      <c r="A14" s="1" t="s">
        <v>31</v>
      </c>
      <c r="B14" s="2" t="s">
        <v>32</v>
      </c>
      <c r="C14" s="3" t="s">
        <v>13</v>
      </c>
      <c r="D14" s="4">
        <v>1100000</v>
      </c>
      <c r="E14" s="5">
        <f t="shared" si="0"/>
        <v>36666.666666666664</v>
      </c>
    </row>
    <row r="15" spans="1:5" x14ac:dyDescent="0.25">
      <c r="A15" s="1" t="s">
        <v>33</v>
      </c>
      <c r="B15" s="2" t="s">
        <v>34</v>
      </c>
      <c r="C15" s="3" t="s">
        <v>35</v>
      </c>
      <c r="D15" s="4">
        <v>781242</v>
      </c>
      <c r="E15" s="5">
        <f t="shared" si="0"/>
        <v>26041.4</v>
      </c>
    </row>
    <row r="16" spans="1:5" x14ac:dyDescent="0.25">
      <c r="A16" s="1" t="s">
        <v>36</v>
      </c>
      <c r="B16" s="2" t="s">
        <v>37</v>
      </c>
      <c r="C16" s="3" t="s">
        <v>38</v>
      </c>
      <c r="D16" s="4">
        <v>9000000</v>
      </c>
      <c r="E16" s="5">
        <f t="shared" si="0"/>
        <v>300000</v>
      </c>
    </row>
    <row r="17" spans="1:5" x14ac:dyDescent="0.25">
      <c r="A17" s="1" t="s">
        <v>39</v>
      </c>
      <c r="B17" s="2" t="s">
        <v>40</v>
      </c>
      <c r="C17" s="3" t="s">
        <v>13</v>
      </c>
      <c r="D17" s="4">
        <v>1100000</v>
      </c>
      <c r="E17" s="5">
        <f t="shared" si="0"/>
        <v>36666.666666666664</v>
      </c>
    </row>
    <row r="18" spans="1:5" x14ac:dyDescent="0.25">
      <c r="A18" s="1" t="s">
        <v>41</v>
      </c>
      <c r="B18" s="2" t="s">
        <v>42</v>
      </c>
      <c r="C18" s="3" t="s">
        <v>10</v>
      </c>
      <c r="D18" s="4">
        <v>850000</v>
      </c>
      <c r="E18" s="5">
        <f t="shared" si="0"/>
        <v>28333.333333333332</v>
      </c>
    </row>
    <row r="19" spans="1:5" x14ac:dyDescent="0.25">
      <c r="A19" s="1" t="s">
        <v>43</v>
      </c>
      <c r="B19" s="2" t="s">
        <v>44</v>
      </c>
      <c r="C19" s="3" t="s">
        <v>35</v>
      </c>
      <c r="D19" s="4">
        <v>781242</v>
      </c>
      <c r="E19" s="5">
        <f t="shared" si="0"/>
        <v>26041.4</v>
      </c>
    </row>
    <row r="20" spans="1:5" x14ac:dyDescent="0.25">
      <c r="A20" s="1" t="s">
        <v>45</v>
      </c>
      <c r="B20" s="2" t="s">
        <v>46</v>
      </c>
      <c r="C20" s="3" t="s">
        <v>13</v>
      </c>
      <c r="D20" s="4">
        <v>1100000</v>
      </c>
      <c r="E20" s="5">
        <f t="shared" si="0"/>
        <v>36666.666666666664</v>
      </c>
    </row>
    <row r="21" spans="1:5" x14ac:dyDescent="0.25">
      <c r="A21" s="1" t="s">
        <v>47</v>
      </c>
      <c r="B21" s="2" t="s">
        <v>48</v>
      </c>
      <c r="C21" s="3" t="s">
        <v>7</v>
      </c>
      <c r="D21" s="4">
        <v>900000</v>
      </c>
      <c r="E21" s="5">
        <f t="shared" si="0"/>
        <v>30000</v>
      </c>
    </row>
    <row r="22" spans="1:5" x14ac:dyDescent="0.25">
      <c r="A22" s="1" t="s">
        <v>49</v>
      </c>
      <c r="B22" s="2" t="s">
        <v>50</v>
      </c>
      <c r="C22" s="3" t="s">
        <v>10</v>
      </c>
      <c r="D22" s="4">
        <v>850000</v>
      </c>
      <c r="E22" s="5">
        <f t="shared" si="0"/>
        <v>28333.333333333332</v>
      </c>
    </row>
    <row r="23" spans="1:5" x14ac:dyDescent="0.25">
      <c r="A23" s="1" t="s">
        <v>51</v>
      </c>
      <c r="B23" s="2" t="s">
        <v>52</v>
      </c>
      <c r="C23" s="3" t="s">
        <v>13</v>
      </c>
      <c r="D23" s="4">
        <v>1100000</v>
      </c>
      <c r="E23" s="5">
        <f t="shared" si="0"/>
        <v>36666.666666666664</v>
      </c>
    </row>
    <row r="24" spans="1:5" x14ac:dyDescent="0.25">
      <c r="A24" s="1" t="s">
        <v>53</v>
      </c>
      <c r="B24" s="2" t="s">
        <v>54</v>
      </c>
      <c r="C24" s="3" t="s">
        <v>35</v>
      </c>
      <c r="D24" s="4">
        <v>781242</v>
      </c>
      <c r="E24" s="5">
        <f t="shared" si="0"/>
        <v>26041.4</v>
      </c>
    </row>
    <row r="25" spans="1:5" x14ac:dyDescent="0.25">
      <c r="A25" s="1" t="s">
        <v>55</v>
      </c>
      <c r="B25" s="2" t="s">
        <v>56</v>
      </c>
      <c r="C25" s="3" t="s">
        <v>57</v>
      </c>
      <c r="D25" s="4">
        <v>900000</v>
      </c>
      <c r="E25" s="5">
        <f t="shared" si="0"/>
        <v>30000</v>
      </c>
    </row>
    <row r="26" spans="1:5" x14ac:dyDescent="0.25">
      <c r="A26" s="1" t="s">
        <v>58</v>
      </c>
      <c r="B26" s="2" t="s">
        <v>59</v>
      </c>
      <c r="C26" s="3" t="s">
        <v>16</v>
      </c>
      <c r="D26" s="4">
        <v>781242</v>
      </c>
      <c r="E26" s="5">
        <f t="shared" si="0"/>
        <v>26041.4</v>
      </c>
    </row>
    <row r="27" spans="1:5" x14ac:dyDescent="0.25">
      <c r="A27" s="1" t="s">
        <v>60</v>
      </c>
      <c r="B27" s="2" t="s">
        <v>61</v>
      </c>
      <c r="C27" s="3" t="s">
        <v>19</v>
      </c>
      <c r="D27" s="4">
        <v>950000</v>
      </c>
      <c r="E27" s="5">
        <f t="shared" si="0"/>
        <v>31666.666666666668</v>
      </c>
    </row>
    <row r="28" spans="1:5" x14ac:dyDescent="0.25">
      <c r="A28" s="1" t="s">
        <v>62</v>
      </c>
      <c r="B28" s="2" t="s">
        <v>63</v>
      </c>
      <c r="C28" s="3" t="s">
        <v>35</v>
      </c>
      <c r="D28" s="4">
        <v>781242</v>
      </c>
      <c r="E28" s="5">
        <f t="shared" si="0"/>
        <v>26041.4</v>
      </c>
    </row>
    <row r="29" spans="1:5" x14ac:dyDescent="0.25">
      <c r="A29" s="1" t="s">
        <v>64</v>
      </c>
      <c r="B29" s="2" t="s">
        <v>65</v>
      </c>
      <c r="C29" s="3" t="s">
        <v>35</v>
      </c>
      <c r="D29" s="4">
        <v>781242</v>
      </c>
      <c r="E29" s="5">
        <f t="shared" si="0"/>
        <v>26041.4</v>
      </c>
    </row>
    <row r="30" spans="1:5" x14ac:dyDescent="0.25">
      <c r="A30" s="1" t="s">
        <v>66</v>
      </c>
      <c r="B30" s="2" t="s">
        <v>67</v>
      </c>
      <c r="C30" s="3" t="s">
        <v>35</v>
      </c>
      <c r="D30" s="4">
        <v>781242</v>
      </c>
      <c r="E30" s="5">
        <f t="shared" si="0"/>
        <v>26041.4</v>
      </c>
    </row>
    <row r="31" spans="1:5" x14ac:dyDescent="0.25">
      <c r="A31" s="1" t="s">
        <v>68</v>
      </c>
      <c r="B31" s="2" t="s">
        <v>69</v>
      </c>
      <c r="C31" s="3" t="s">
        <v>13</v>
      </c>
      <c r="D31" s="4">
        <v>1100000</v>
      </c>
      <c r="E31" s="5">
        <f t="shared" si="0"/>
        <v>36666.666666666664</v>
      </c>
    </row>
    <row r="32" spans="1:5" x14ac:dyDescent="0.25">
      <c r="A32" s="1" t="s">
        <v>70</v>
      </c>
      <c r="B32" s="2" t="s">
        <v>71</v>
      </c>
      <c r="C32" s="3" t="s">
        <v>13</v>
      </c>
      <c r="D32" s="4">
        <v>1100000</v>
      </c>
      <c r="E32" s="5">
        <f t="shared" si="0"/>
        <v>36666.666666666664</v>
      </c>
    </row>
    <row r="33" spans="1:5" ht="15.75" thickBot="1" x14ac:dyDescent="0.3">
      <c r="A33" s="6" t="s">
        <v>72</v>
      </c>
      <c r="B33" s="7" t="s">
        <v>73</v>
      </c>
      <c r="C33" s="8" t="s">
        <v>57</v>
      </c>
      <c r="D33" s="9">
        <v>900000</v>
      </c>
      <c r="E33" s="10">
        <f t="shared" si="0"/>
        <v>30000</v>
      </c>
    </row>
  </sheetData>
  <mergeCells count="5">
    <mergeCell ref="A1:A3"/>
    <mergeCell ref="B1:B3"/>
    <mergeCell ref="C1:C3"/>
    <mergeCell ref="D1:D3"/>
    <mergeCell ref="E1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F4337-77C9-4702-A98D-4470065F8A86}">
  <dimension ref="A1:AA57"/>
  <sheetViews>
    <sheetView topLeftCell="A46" workbookViewId="0">
      <selection activeCell="A52" sqref="A52:D52"/>
    </sheetView>
  </sheetViews>
  <sheetFormatPr baseColWidth="10" defaultRowHeight="12" x14ac:dyDescent="0.2"/>
  <cols>
    <col min="1" max="1" width="15.42578125" style="81" customWidth="1"/>
    <col min="2" max="2" width="24" style="81" customWidth="1"/>
    <col min="3" max="3" width="28.5703125" style="81" customWidth="1"/>
    <col min="4" max="4" width="9.7109375" style="81" bestFit="1" customWidth="1"/>
    <col min="5" max="5" width="22.28515625" style="82" customWidth="1"/>
    <col min="6" max="6" width="17.85546875" style="82" bestFit="1" customWidth="1"/>
    <col min="7" max="7" width="11.42578125" style="81"/>
    <col min="8" max="8" width="15.42578125" style="81" customWidth="1"/>
    <col min="9" max="9" width="21.5703125" style="81" customWidth="1"/>
    <col min="10" max="10" width="25.5703125" style="81" customWidth="1"/>
    <col min="11" max="11" width="17.85546875" style="82" bestFit="1" customWidth="1"/>
    <col min="12" max="12" width="17.85546875" style="82" customWidth="1"/>
    <col min="13" max="13" width="22.140625" style="82" customWidth="1"/>
    <col min="14" max="14" width="26.140625" style="82" customWidth="1"/>
    <col min="15" max="15" width="17.28515625" style="81" customWidth="1"/>
    <col min="16" max="16" width="19.7109375" style="82" customWidth="1"/>
    <col min="17" max="17" width="15.42578125" style="81" customWidth="1"/>
    <col min="18" max="18" width="18.7109375" style="81" customWidth="1"/>
    <col min="19" max="19" width="19.140625" style="81" customWidth="1"/>
    <col min="20" max="20" width="30.28515625" style="81" customWidth="1"/>
    <col min="21" max="21" width="15" style="81" customWidth="1"/>
    <col min="22" max="22" width="16" style="81" customWidth="1"/>
    <col min="23" max="23" width="15.42578125" style="81" customWidth="1"/>
    <col min="24" max="24" width="19" style="81" customWidth="1"/>
    <col min="25" max="25" width="17.42578125" style="81" customWidth="1"/>
    <col min="26" max="26" width="18.85546875" style="81" customWidth="1"/>
    <col min="27" max="27" width="17.42578125" style="83" customWidth="1"/>
    <col min="28" max="28" width="18.85546875" style="16" bestFit="1" customWidth="1"/>
    <col min="29" max="29" width="8" style="16" customWidth="1"/>
    <col min="30" max="16384" width="11.42578125" style="16"/>
  </cols>
  <sheetData>
    <row r="1" spans="1:27" ht="12.75" thickTop="1" x14ac:dyDescent="0.2">
      <c r="A1" s="12"/>
      <c r="B1" s="13"/>
      <c r="C1" s="13"/>
      <c r="D1" s="13"/>
      <c r="E1" s="14"/>
      <c r="F1" s="14"/>
      <c r="G1" s="13"/>
      <c r="H1" s="13"/>
      <c r="I1" s="13"/>
      <c r="J1" s="13"/>
      <c r="K1" s="14"/>
      <c r="L1" s="14"/>
      <c r="M1" s="14"/>
      <c r="N1" s="14"/>
      <c r="O1" s="13"/>
      <c r="P1" s="14"/>
      <c r="Q1" s="13"/>
      <c r="R1" s="13"/>
      <c r="S1" s="13"/>
      <c r="T1" s="13"/>
      <c r="U1" s="13"/>
      <c r="V1" s="13"/>
      <c r="W1" s="13"/>
      <c r="X1" s="13"/>
      <c r="Y1" s="13"/>
      <c r="Z1" s="13"/>
      <c r="AA1" s="15"/>
    </row>
    <row r="2" spans="1:27" x14ac:dyDescent="0.2">
      <c r="A2" s="17"/>
      <c r="B2" s="18"/>
      <c r="C2" s="18"/>
      <c r="D2" s="18"/>
      <c r="E2" s="19"/>
      <c r="F2" s="19"/>
      <c r="G2" s="18"/>
      <c r="H2" s="18"/>
      <c r="I2" s="18"/>
      <c r="J2" s="18"/>
      <c r="K2" s="19"/>
      <c r="L2" s="19"/>
      <c r="M2" s="19"/>
      <c r="N2" s="19"/>
      <c r="O2" s="18"/>
      <c r="P2" s="19"/>
      <c r="Q2" s="18"/>
      <c r="R2" s="18"/>
      <c r="S2" s="18"/>
      <c r="T2" s="18"/>
      <c r="U2" s="18"/>
      <c r="V2" s="18"/>
      <c r="W2" s="18"/>
      <c r="X2" s="18"/>
      <c r="Y2" s="18"/>
      <c r="Z2" s="18"/>
      <c r="AA2" s="20"/>
    </row>
    <row r="3" spans="1:27" x14ac:dyDescent="0.2">
      <c r="A3" s="17"/>
      <c r="B3" s="18"/>
      <c r="C3" s="18"/>
      <c r="D3" s="18"/>
      <c r="E3" s="19"/>
      <c r="F3" s="19"/>
      <c r="G3" s="18"/>
      <c r="H3" s="18"/>
      <c r="I3" s="18"/>
      <c r="J3" s="18"/>
      <c r="K3" s="19"/>
      <c r="L3" s="19"/>
      <c r="M3" s="19"/>
      <c r="N3" s="19"/>
      <c r="O3" s="18"/>
      <c r="P3" s="19"/>
      <c r="Q3" s="18"/>
      <c r="R3" s="18"/>
      <c r="S3" s="18"/>
      <c r="T3" s="18"/>
      <c r="U3" s="18"/>
      <c r="V3" s="18"/>
      <c r="W3" s="18"/>
      <c r="X3" s="18"/>
      <c r="Y3" s="18"/>
      <c r="Z3" s="18"/>
      <c r="AA3" s="20"/>
    </row>
    <row r="4" spans="1:27" x14ac:dyDescent="0.2">
      <c r="A4" s="277" t="s">
        <v>74</v>
      </c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278"/>
      <c r="X4" s="278"/>
      <c r="Y4" s="278"/>
      <c r="Z4" s="278"/>
      <c r="AA4" s="20"/>
    </row>
    <row r="5" spans="1:27" x14ac:dyDescent="0.2">
      <c r="A5" s="21"/>
      <c r="B5" s="22"/>
      <c r="C5" s="22"/>
      <c r="D5" s="22"/>
      <c r="E5" s="23"/>
      <c r="F5" s="23"/>
      <c r="G5" s="22"/>
      <c r="H5" s="22"/>
      <c r="I5" s="22"/>
      <c r="J5" s="22"/>
      <c r="K5" s="23"/>
      <c r="L5" s="23"/>
      <c r="M5" s="23"/>
      <c r="N5" s="23"/>
      <c r="O5" s="22"/>
      <c r="P5" s="23"/>
      <c r="Q5" s="22"/>
      <c r="R5" s="22"/>
      <c r="S5" s="22"/>
      <c r="T5" s="22"/>
      <c r="U5" s="22"/>
      <c r="V5" s="22"/>
      <c r="W5" s="22"/>
      <c r="X5" s="22"/>
      <c r="Y5" s="22"/>
      <c r="Z5" s="22"/>
      <c r="AA5" s="20"/>
    </row>
    <row r="6" spans="1:27" x14ac:dyDescent="0.2">
      <c r="A6" s="279" t="s">
        <v>75</v>
      </c>
      <c r="B6" s="280"/>
      <c r="C6" s="280"/>
      <c r="D6" s="280"/>
      <c r="E6" s="280"/>
      <c r="F6" s="280"/>
      <c r="G6" s="280"/>
      <c r="H6" s="280"/>
      <c r="I6" s="280"/>
      <c r="J6" s="280"/>
      <c r="K6" s="280"/>
      <c r="L6" s="280"/>
      <c r="M6" s="280"/>
      <c r="N6" s="280"/>
      <c r="O6" s="281" t="s">
        <v>76</v>
      </c>
      <c r="P6" s="281"/>
      <c r="Q6" s="281"/>
      <c r="R6" s="281"/>
      <c r="S6" s="281"/>
      <c r="T6" s="281"/>
      <c r="U6" s="281"/>
      <c r="V6" s="281"/>
      <c r="W6" s="281"/>
      <c r="X6" s="281"/>
      <c r="Y6" s="281"/>
      <c r="Z6" s="281"/>
      <c r="AA6" s="20"/>
    </row>
    <row r="7" spans="1:27" x14ac:dyDescent="0.2">
      <c r="A7" s="24"/>
      <c r="B7" s="25"/>
      <c r="C7" s="25"/>
      <c r="D7" s="25"/>
      <c r="E7" s="26"/>
      <c r="F7" s="26"/>
      <c r="G7" s="25"/>
      <c r="H7" s="25"/>
      <c r="I7" s="25"/>
      <c r="J7" s="25"/>
      <c r="K7" s="26"/>
      <c r="L7" s="26"/>
      <c r="M7" s="26"/>
      <c r="N7" s="26"/>
      <c r="O7" s="27"/>
      <c r="P7" s="28"/>
      <c r="Q7" s="27"/>
      <c r="R7" s="27"/>
      <c r="S7" s="27"/>
      <c r="T7" s="27"/>
      <c r="U7" s="27"/>
      <c r="V7" s="27"/>
      <c r="W7" s="27"/>
      <c r="X7" s="27"/>
      <c r="Y7" s="27"/>
      <c r="Z7" s="27"/>
      <c r="AA7" s="20"/>
    </row>
    <row r="8" spans="1:27" x14ac:dyDescent="0.2">
      <c r="A8" s="24"/>
      <c r="B8" s="25"/>
      <c r="C8" s="25"/>
      <c r="D8" s="25"/>
      <c r="E8" s="26"/>
      <c r="F8" s="26"/>
      <c r="G8" s="25"/>
      <c r="H8" s="25"/>
      <c r="I8" s="25"/>
      <c r="J8" s="25"/>
      <c r="K8" s="26"/>
      <c r="L8" s="26"/>
      <c r="M8" s="26"/>
      <c r="N8" s="26"/>
      <c r="O8" s="27"/>
      <c r="P8" s="28">
        <v>1562484</v>
      </c>
      <c r="Q8" s="27"/>
      <c r="R8" s="27">
        <f>781242*4</f>
        <v>3124968</v>
      </c>
      <c r="S8" s="27"/>
      <c r="T8" s="27"/>
      <c r="U8" s="27"/>
      <c r="V8" s="27"/>
      <c r="W8" s="27"/>
      <c r="X8" s="27"/>
      <c r="Y8" s="27"/>
      <c r="Z8" s="27"/>
      <c r="AA8" s="20"/>
    </row>
    <row r="9" spans="1:27" ht="12.75" thickBot="1" x14ac:dyDescent="0.25">
      <c r="A9" s="29"/>
      <c r="B9" s="30"/>
      <c r="C9" s="30"/>
      <c r="D9" s="30"/>
      <c r="E9" s="31"/>
      <c r="F9" s="31"/>
      <c r="G9" s="30"/>
      <c r="H9" s="30"/>
      <c r="I9" s="30"/>
      <c r="J9" s="30"/>
      <c r="K9" s="31"/>
      <c r="L9" s="31"/>
      <c r="M9" s="31"/>
      <c r="N9" s="31"/>
      <c r="O9" s="30"/>
      <c r="P9" s="31"/>
      <c r="Q9" s="30"/>
      <c r="R9" s="30"/>
      <c r="S9" s="30"/>
      <c r="T9" s="30"/>
      <c r="U9" s="30"/>
      <c r="V9" s="30"/>
      <c r="W9" s="30"/>
      <c r="X9" s="30"/>
      <c r="Y9" s="30"/>
      <c r="Z9" s="30"/>
      <c r="AA9" s="32"/>
    </row>
    <row r="10" spans="1:27" ht="13.5" customHeight="1" thickTop="1" thickBot="1" x14ac:dyDescent="0.25">
      <c r="A10" s="33" t="s">
        <v>77</v>
      </c>
      <c r="B10" s="33" t="s">
        <v>78</v>
      </c>
      <c r="C10" s="33" t="s">
        <v>79</v>
      </c>
      <c r="D10" s="33" t="s">
        <v>80</v>
      </c>
      <c r="E10" s="34" t="s">
        <v>81</v>
      </c>
      <c r="F10" s="34" t="s">
        <v>82</v>
      </c>
      <c r="G10" s="282" t="s">
        <v>83</v>
      </c>
      <c r="H10" s="283"/>
      <c r="I10" s="283"/>
      <c r="J10" s="283"/>
      <c r="K10" s="283"/>
      <c r="L10" s="283"/>
      <c r="M10" s="283"/>
      <c r="N10" s="283"/>
      <c r="O10" s="283"/>
      <c r="P10" s="283"/>
      <c r="Q10" s="283"/>
      <c r="R10" s="284"/>
      <c r="S10" s="285" t="s">
        <v>84</v>
      </c>
      <c r="T10" s="285" t="s">
        <v>84</v>
      </c>
      <c r="U10" s="282" t="s">
        <v>85</v>
      </c>
      <c r="V10" s="283"/>
      <c r="W10" s="283"/>
      <c r="X10" s="283"/>
      <c r="Y10" s="284"/>
      <c r="Z10" s="33" t="s">
        <v>86</v>
      </c>
      <c r="AA10" s="33" t="s">
        <v>87</v>
      </c>
    </row>
    <row r="11" spans="1:27" ht="13.5" customHeight="1" thickTop="1" thickBot="1" x14ac:dyDescent="0.25">
      <c r="A11" s="35" t="s">
        <v>88</v>
      </c>
      <c r="B11" s="35" t="s">
        <v>88</v>
      </c>
      <c r="C11" s="35" t="s">
        <v>89</v>
      </c>
      <c r="D11" s="35" t="s">
        <v>90</v>
      </c>
      <c r="E11" s="36"/>
      <c r="F11" s="36"/>
      <c r="G11" s="287" t="s">
        <v>91</v>
      </c>
      <c r="H11" s="288"/>
      <c r="I11" s="288"/>
      <c r="J11" s="289"/>
      <c r="K11" s="290" t="s">
        <v>92</v>
      </c>
      <c r="L11" s="291"/>
      <c r="M11" s="291"/>
      <c r="N11" s="292"/>
      <c r="O11" s="33" t="s">
        <v>86</v>
      </c>
      <c r="P11" s="34" t="s">
        <v>93</v>
      </c>
      <c r="Q11" s="33" t="s">
        <v>94</v>
      </c>
      <c r="R11" s="33" t="s">
        <v>94</v>
      </c>
      <c r="S11" s="286"/>
      <c r="T11" s="286"/>
      <c r="U11" s="282" t="s">
        <v>95</v>
      </c>
      <c r="V11" s="283"/>
      <c r="W11" s="284"/>
      <c r="X11" s="33" t="s">
        <v>94</v>
      </c>
      <c r="Y11" s="33" t="s">
        <v>94</v>
      </c>
      <c r="Z11" s="35"/>
      <c r="AA11" s="35"/>
    </row>
    <row r="12" spans="1:27" ht="30" customHeight="1" thickTop="1" thickBot="1" x14ac:dyDescent="0.25">
      <c r="A12" s="37" t="s">
        <v>96</v>
      </c>
      <c r="B12" s="37" t="s">
        <v>97</v>
      </c>
      <c r="C12" s="37" t="s">
        <v>98</v>
      </c>
      <c r="D12" s="37" t="s">
        <v>99</v>
      </c>
      <c r="E12" s="38" t="s">
        <v>100</v>
      </c>
      <c r="F12" s="38" t="s">
        <v>101</v>
      </c>
      <c r="G12" s="39" t="s">
        <v>102</v>
      </c>
      <c r="H12" s="39" t="s">
        <v>103</v>
      </c>
      <c r="I12" s="40" t="s">
        <v>104</v>
      </c>
      <c r="J12" s="40" t="s">
        <v>105</v>
      </c>
      <c r="K12" s="41" t="s">
        <v>106</v>
      </c>
      <c r="L12" s="41" t="s">
        <v>107</v>
      </c>
      <c r="M12" s="42" t="s">
        <v>108</v>
      </c>
      <c r="N12" s="43" t="s">
        <v>109</v>
      </c>
      <c r="O12" s="37" t="s">
        <v>110</v>
      </c>
      <c r="P12" s="38" t="s">
        <v>111</v>
      </c>
      <c r="Q12" s="37" t="s">
        <v>112</v>
      </c>
      <c r="R12" s="37" t="s">
        <v>113</v>
      </c>
      <c r="S12" s="37" t="s">
        <v>114</v>
      </c>
      <c r="T12" s="37" t="s">
        <v>115</v>
      </c>
      <c r="U12" s="39" t="s">
        <v>116</v>
      </c>
      <c r="V12" s="39" t="s">
        <v>117</v>
      </c>
      <c r="W12" s="39" t="s">
        <v>118</v>
      </c>
      <c r="X12" s="37" t="s">
        <v>119</v>
      </c>
      <c r="Y12" s="37" t="s">
        <v>120</v>
      </c>
      <c r="Z12" s="37" t="s">
        <v>85</v>
      </c>
      <c r="AA12" s="44" t="s">
        <v>121</v>
      </c>
    </row>
    <row r="13" spans="1:27" ht="13.5" thickTop="1" thickBot="1" x14ac:dyDescent="0.25">
      <c r="A13" s="45" t="s">
        <v>5</v>
      </c>
      <c r="B13" s="46" t="str">
        <f t="shared" ref="B13:B43" si="0">IF(ISBLANK(A13),"",IF(ISERROR(VLOOKUP(A13,bdempleados,2,FALSE)),"EL DATO NO EXISTE",VLOOKUP(A13,bdempleados,2,FALSE)))</f>
        <v>Ospina Borja Pedro Nel</v>
      </c>
      <c r="C13" s="46" t="str">
        <f t="shared" ref="C13:C42" si="1">VLOOKUP(A13,bdempleados,3,FALSE)</f>
        <v>Digitador</v>
      </c>
      <c r="D13" s="47">
        <v>30</v>
      </c>
      <c r="E13" s="48">
        <f t="shared" ref="E13:E42" si="2">VLOOKUP(A13,bdempleados,5,FALSE)</f>
        <v>30000</v>
      </c>
      <c r="F13" s="49">
        <f>E13*30</f>
        <v>900000</v>
      </c>
      <c r="G13" s="50">
        <f>IF(OR(C13="OPERARIO",C13="OPERARIA"),5,0)</f>
        <v>0</v>
      </c>
      <c r="H13" s="50">
        <f>IF(OR(C13="OPERARIO",C13="OPERARIA"),4,0)</f>
        <v>0</v>
      </c>
      <c r="I13" s="50">
        <f>IF(OR(C13="OPERARIO",C13="OPERARIA"),2,0)</f>
        <v>0</v>
      </c>
      <c r="J13" s="50">
        <f>IF(OR(C13="OPERARIO",DD3="OPERARIA"),1,0)</f>
        <v>0</v>
      </c>
      <c r="K13" s="49">
        <f>F13/240*$U$47*G13</f>
        <v>0</v>
      </c>
      <c r="L13" s="49">
        <f>F13/240*$U$48*H13</f>
        <v>0</v>
      </c>
      <c r="M13" s="49">
        <f>F13/240*$U$49*I13</f>
        <v>0</v>
      </c>
      <c r="N13" s="49">
        <f>F13/240*$U$50*J13</f>
        <v>0</v>
      </c>
      <c r="O13" s="49">
        <f>K13+L13+M13+N13</f>
        <v>0</v>
      </c>
      <c r="P13" s="49">
        <f>IF(AND(D13&gt;30,F13&gt;$P$8),0,IF(AND(D13&lt;=30,F13&lt;=$P$8),D13*2940,0))</f>
        <v>88200</v>
      </c>
      <c r="Q13" s="49">
        <f t="shared" ref="Q13:Q43" si="3">IF(C13="Vendedor",$O$52*0.03%,0)</f>
        <v>0</v>
      </c>
      <c r="R13" s="49">
        <f>IF(F13&gt;=900000,$O$52*$O$56,O52*$Q$56)</f>
        <v>40000</v>
      </c>
      <c r="S13" s="49">
        <f>F13+O13+P13+Q13+R13</f>
        <v>1028200</v>
      </c>
      <c r="T13" s="49">
        <f>S13-P13</f>
        <v>940000</v>
      </c>
      <c r="U13" s="49">
        <f>T13*$O$48</f>
        <v>37600</v>
      </c>
      <c r="V13" s="49">
        <f>T13*$O$49</f>
        <v>37600</v>
      </c>
      <c r="W13" s="49">
        <f>IF(F13&gt;$R$8,F13*$O$50,0)</f>
        <v>0</v>
      </c>
      <c r="X13" s="49">
        <f t="shared" ref="X13:X42" si="4">IF(AND(F13&gt;=850000,F13&lt;=1000000),F13*$Q$54,IF(AND(F13&gt;=1000001,F13&lt;=9000000),F13*$P$54,F13*$R$54))</f>
        <v>63000.000000000007</v>
      </c>
      <c r="Y13" s="49">
        <f>IF(F13&lt;800000,F13*$O$55,F13*$P$55)</f>
        <v>18000</v>
      </c>
      <c r="Z13" s="49">
        <f>U13+V13+W13+X13+Y13</f>
        <v>156200</v>
      </c>
      <c r="AA13" s="51">
        <f>S13-Z13</f>
        <v>872000</v>
      </c>
    </row>
    <row r="14" spans="1:27" ht="13.5" thickTop="1" thickBot="1" x14ac:dyDescent="0.25">
      <c r="A14" s="45" t="s">
        <v>8</v>
      </c>
      <c r="B14" s="46" t="str">
        <f t="shared" si="0"/>
        <v>Andrés Felipe Ramírez</v>
      </c>
      <c r="C14" s="46" t="str">
        <f t="shared" si="1"/>
        <v>Vendedor</v>
      </c>
      <c r="D14" s="47">
        <v>30</v>
      </c>
      <c r="E14" s="48">
        <f t="shared" si="2"/>
        <v>28333.333333333332</v>
      </c>
      <c r="F14" s="49">
        <f t="shared" ref="F14:F42" si="5">E14*30</f>
        <v>850000</v>
      </c>
      <c r="G14" s="50">
        <f t="shared" ref="G14:G42" si="6">IF(OR(C14="OPERARIO",C14="OPERARIA"),5,0)</f>
        <v>0</v>
      </c>
      <c r="H14" s="50">
        <f t="shared" ref="H14:H43" si="7">IF(OR(C14="OPERARIO",C14="OPERARIA"),4,0)</f>
        <v>0</v>
      </c>
      <c r="I14" s="50">
        <f t="shared" ref="I14:I42" si="8">IF(OR(C14="OPERARIO",C14="OPERARIA"),2,0)</f>
        <v>0</v>
      </c>
      <c r="J14" s="50">
        <f t="shared" ref="J14:J42" si="9">IF(OR(C14="OPERARIO",DD4="OPERARIA"),1,0)</f>
        <v>0</v>
      </c>
      <c r="K14" s="49">
        <f t="shared" ref="K14:K42" si="10">F14/240*$U$47*G14</f>
        <v>0</v>
      </c>
      <c r="L14" s="49">
        <f t="shared" ref="L14:L42" si="11">F14/240*$U$48*H14</f>
        <v>0</v>
      </c>
      <c r="M14" s="49">
        <f t="shared" ref="M14:M42" si="12">F14/240*$U$49*I14</f>
        <v>0</v>
      </c>
      <c r="N14" s="49">
        <f t="shared" ref="N14:N42" si="13">F14/240*$U$50*J14</f>
        <v>0</v>
      </c>
      <c r="O14" s="49">
        <f t="shared" ref="O14:O42" si="14">K14+L14+M14+N14</f>
        <v>0</v>
      </c>
      <c r="P14" s="49">
        <f t="shared" ref="P14:P42" si="15">IF(AND(D14&gt;30,F14&gt;$P$8),0,IF(AND(D14&lt;=30,F14&lt;=$P$8),D14*2940,0))</f>
        <v>88200</v>
      </c>
      <c r="Q14" s="49">
        <f>IF(C14="Vendedor",$O$52*0.03%,0)</f>
        <v>59999.999999999993</v>
      </c>
      <c r="R14" s="52"/>
      <c r="S14" s="49">
        <f t="shared" ref="S14:S42" si="16">F14+O14+P14+Q14+R14</f>
        <v>998200</v>
      </c>
      <c r="T14" s="49">
        <f t="shared" ref="T14:T42" si="17">S14-P14</f>
        <v>910000</v>
      </c>
      <c r="U14" s="49">
        <f t="shared" ref="U14:U42" si="18">T14*$O$48</f>
        <v>36400</v>
      </c>
      <c r="V14" s="49">
        <f t="shared" ref="V14:V42" si="19">T14*$O$49</f>
        <v>36400</v>
      </c>
      <c r="W14" s="49">
        <f t="shared" ref="W14:W42" si="20">IF(F14&gt;$R$8,F14*$O$50,0)</f>
        <v>0</v>
      </c>
      <c r="X14" s="49">
        <f t="shared" si="4"/>
        <v>59500.000000000007</v>
      </c>
      <c r="Y14" s="49">
        <f t="shared" ref="Y14:Y42" si="21">IF(F14&lt;800000,F14*$O$55,F14*$P$55)</f>
        <v>17000</v>
      </c>
      <c r="Z14" s="49">
        <f t="shared" ref="Z14:Z42" si="22">U14+V14+W14+X14+Y14</f>
        <v>149300</v>
      </c>
      <c r="AA14" s="51">
        <f t="shared" ref="AA14:AA42" si="23">S14-Z14</f>
        <v>848900</v>
      </c>
    </row>
    <row r="15" spans="1:27" ht="13.5" thickTop="1" thickBot="1" x14ac:dyDescent="0.25">
      <c r="A15" s="45" t="s">
        <v>11</v>
      </c>
      <c r="B15" s="46" t="str">
        <f t="shared" si="0"/>
        <v>Ángela María Hernández</v>
      </c>
      <c r="C15" s="46" t="str">
        <f t="shared" si="1"/>
        <v>Auxiliar Contable</v>
      </c>
      <c r="D15" s="47">
        <v>30</v>
      </c>
      <c r="E15" s="48">
        <f t="shared" si="2"/>
        <v>36666.666666666664</v>
      </c>
      <c r="F15" s="49">
        <f t="shared" si="5"/>
        <v>1100000</v>
      </c>
      <c r="G15" s="50">
        <f t="shared" si="6"/>
        <v>0</v>
      </c>
      <c r="H15" s="50">
        <f t="shared" si="7"/>
        <v>0</v>
      </c>
      <c r="I15" s="50">
        <f t="shared" si="8"/>
        <v>0</v>
      </c>
      <c r="J15" s="50">
        <f t="shared" si="9"/>
        <v>0</v>
      </c>
      <c r="K15" s="49">
        <f t="shared" si="10"/>
        <v>0</v>
      </c>
      <c r="L15" s="49">
        <f t="shared" si="11"/>
        <v>0</v>
      </c>
      <c r="M15" s="49">
        <f t="shared" si="12"/>
        <v>0</v>
      </c>
      <c r="N15" s="49">
        <f t="shared" si="13"/>
        <v>0</v>
      </c>
      <c r="O15" s="49">
        <f t="shared" si="14"/>
        <v>0</v>
      </c>
      <c r="P15" s="49">
        <f t="shared" si="15"/>
        <v>88200</v>
      </c>
      <c r="Q15" s="49">
        <f t="shared" si="3"/>
        <v>0</v>
      </c>
      <c r="R15" s="49">
        <f t="shared" ref="R15:R42" si="24">IF(F15&gt;=900000,$O$52*$O$56,O54*$Q$56)</f>
        <v>40000</v>
      </c>
      <c r="S15" s="49">
        <f t="shared" si="16"/>
        <v>1228200</v>
      </c>
      <c r="T15" s="49">
        <f t="shared" si="17"/>
        <v>1140000</v>
      </c>
      <c r="U15" s="49">
        <f t="shared" si="18"/>
        <v>45600</v>
      </c>
      <c r="V15" s="49">
        <f t="shared" si="19"/>
        <v>45600</v>
      </c>
      <c r="W15" s="49">
        <f t="shared" si="20"/>
        <v>0</v>
      </c>
      <c r="X15" s="49">
        <f t="shared" si="4"/>
        <v>110000</v>
      </c>
      <c r="Y15" s="49">
        <f t="shared" si="21"/>
        <v>22000</v>
      </c>
      <c r="Z15" s="49">
        <f t="shared" si="22"/>
        <v>223200</v>
      </c>
      <c r="AA15" s="51">
        <f t="shared" si="23"/>
        <v>1005000</v>
      </c>
    </row>
    <row r="16" spans="1:27" ht="13.5" thickTop="1" thickBot="1" x14ac:dyDescent="0.25">
      <c r="A16" s="45" t="s">
        <v>14</v>
      </c>
      <c r="B16" s="46" t="str">
        <f t="shared" si="0"/>
        <v>Camilo Ceballos</v>
      </c>
      <c r="C16" s="46" t="str">
        <f t="shared" si="1"/>
        <v>Operario</v>
      </c>
      <c r="D16" s="47">
        <v>30</v>
      </c>
      <c r="E16" s="48">
        <f t="shared" si="2"/>
        <v>26041.4</v>
      </c>
      <c r="F16" s="49">
        <f t="shared" si="5"/>
        <v>781242</v>
      </c>
      <c r="G16" s="50">
        <f t="shared" si="6"/>
        <v>5</v>
      </c>
      <c r="H16" s="50">
        <f t="shared" si="7"/>
        <v>4</v>
      </c>
      <c r="I16" s="50">
        <f t="shared" si="8"/>
        <v>2</v>
      </c>
      <c r="J16" s="50">
        <f>IF(OR(C16="OPERARIO",C16="OPERARIA"),1,0)</f>
        <v>1</v>
      </c>
      <c r="K16" s="49">
        <f t="shared" si="10"/>
        <v>20344.84375</v>
      </c>
      <c r="L16" s="49">
        <f t="shared" si="11"/>
        <v>22786.225000000002</v>
      </c>
      <c r="M16" s="49">
        <f t="shared" si="12"/>
        <v>14648.2875</v>
      </c>
      <c r="N16" s="49">
        <f t="shared" si="13"/>
        <v>8951.7312500000007</v>
      </c>
      <c r="O16" s="49">
        <f t="shared" si="14"/>
        <v>66731.087500000009</v>
      </c>
      <c r="P16" s="49">
        <f t="shared" si="15"/>
        <v>88200</v>
      </c>
      <c r="Q16" s="49">
        <f t="shared" si="3"/>
        <v>0</v>
      </c>
      <c r="R16" s="49">
        <f t="shared" si="24"/>
        <v>1.4999999999999998E-6</v>
      </c>
      <c r="S16" s="49">
        <f t="shared" si="16"/>
        <v>936173.08750150003</v>
      </c>
      <c r="T16" s="49">
        <f t="shared" si="17"/>
        <v>847973.08750150003</v>
      </c>
      <c r="U16" s="49">
        <f t="shared" si="18"/>
        <v>33918.923500060002</v>
      </c>
      <c r="V16" s="49">
        <f t="shared" si="19"/>
        <v>33918.923500060002</v>
      </c>
      <c r="W16" s="49">
        <f t="shared" si="20"/>
        <v>0</v>
      </c>
      <c r="X16" s="49">
        <f t="shared" si="4"/>
        <v>31249.68</v>
      </c>
      <c r="Y16" s="49">
        <f t="shared" si="21"/>
        <v>3906.21</v>
      </c>
      <c r="Z16" s="49">
        <f t="shared" si="22"/>
        <v>102993.73700012</v>
      </c>
      <c r="AA16" s="51">
        <f t="shared" si="23"/>
        <v>833179.35050138005</v>
      </c>
    </row>
    <row r="17" spans="1:27" ht="13.5" thickTop="1" thickBot="1" x14ac:dyDescent="0.25">
      <c r="A17" s="45" t="s">
        <v>17</v>
      </c>
      <c r="B17" s="46" t="str">
        <f t="shared" si="0"/>
        <v>Carlos Andrés Giraldo</v>
      </c>
      <c r="C17" s="46" t="str">
        <f t="shared" si="1"/>
        <v>Secretaria</v>
      </c>
      <c r="D17" s="47">
        <v>30</v>
      </c>
      <c r="E17" s="48">
        <f t="shared" si="2"/>
        <v>31666.666666666668</v>
      </c>
      <c r="F17" s="49">
        <f t="shared" si="5"/>
        <v>950000</v>
      </c>
      <c r="G17" s="50">
        <f t="shared" si="6"/>
        <v>0</v>
      </c>
      <c r="H17" s="50">
        <f t="shared" si="7"/>
        <v>0</v>
      </c>
      <c r="I17" s="50">
        <f t="shared" si="8"/>
        <v>0</v>
      </c>
      <c r="J17" s="50">
        <f t="shared" si="9"/>
        <v>0</v>
      </c>
      <c r="K17" s="49">
        <f t="shared" si="10"/>
        <v>0</v>
      </c>
      <c r="L17" s="49">
        <f t="shared" si="11"/>
        <v>0</v>
      </c>
      <c r="M17" s="49">
        <f t="shared" si="12"/>
        <v>0</v>
      </c>
      <c r="N17" s="49">
        <f t="shared" si="13"/>
        <v>0</v>
      </c>
      <c r="O17" s="49">
        <f t="shared" si="14"/>
        <v>0</v>
      </c>
      <c r="P17" s="49">
        <f t="shared" si="15"/>
        <v>88200</v>
      </c>
      <c r="Q17" s="49">
        <f t="shared" si="3"/>
        <v>0</v>
      </c>
      <c r="R17" s="49">
        <f t="shared" si="24"/>
        <v>40000</v>
      </c>
      <c r="S17" s="49">
        <f t="shared" si="16"/>
        <v>1078200</v>
      </c>
      <c r="T17" s="49">
        <f t="shared" si="17"/>
        <v>990000</v>
      </c>
      <c r="U17" s="49">
        <f t="shared" si="18"/>
        <v>39600</v>
      </c>
      <c r="V17" s="49">
        <f t="shared" si="19"/>
        <v>39600</v>
      </c>
      <c r="W17" s="49">
        <f t="shared" si="20"/>
        <v>0</v>
      </c>
      <c r="X17" s="49">
        <f t="shared" si="4"/>
        <v>66500</v>
      </c>
      <c r="Y17" s="49">
        <f t="shared" si="21"/>
        <v>19000</v>
      </c>
      <c r="Z17" s="49">
        <f t="shared" si="22"/>
        <v>164700</v>
      </c>
      <c r="AA17" s="51">
        <f t="shared" si="23"/>
        <v>913500</v>
      </c>
    </row>
    <row r="18" spans="1:27" ht="13.5" thickTop="1" thickBot="1" x14ac:dyDescent="0.25">
      <c r="A18" s="45" t="s">
        <v>20</v>
      </c>
      <c r="B18" s="46" t="str">
        <f t="shared" si="0"/>
        <v>Carlos Mario Quiroz</v>
      </c>
      <c r="C18" s="46" t="str">
        <f t="shared" si="1"/>
        <v>Vendedor</v>
      </c>
      <c r="D18" s="47">
        <v>30</v>
      </c>
      <c r="E18" s="48">
        <f t="shared" si="2"/>
        <v>28333.333333333332</v>
      </c>
      <c r="F18" s="49">
        <f t="shared" si="5"/>
        <v>850000</v>
      </c>
      <c r="G18" s="50">
        <f t="shared" si="6"/>
        <v>0</v>
      </c>
      <c r="H18" s="50">
        <f t="shared" si="7"/>
        <v>0</v>
      </c>
      <c r="I18" s="50">
        <f t="shared" si="8"/>
        <v>0</v>
      </c>
      <c r="J18" s="50">
        <f t="shared" si="9"/>
        <v>0</v>
      </c>
      <c r="K18" s="49">
        <f t="shared" si="10"/>
        <v>0</v>
      </c>
      <c r="L18" s="49">
        <f t="shared" si="11"/>
        <v>0</v>
      </c>
      <c r="M18" s="49">
        <f t="shared" si="12"/>
        <v>0</v>
      </c>
      <c r="N18" s="49">
        <f t="shared" si="13"/>
        <v>0</v>
      </c>
      <c r="O18" s="49">
        <f t="shared" si="14"/>
        <v>0</v>
      </c>
      <c r="P18" s="49">
        <f t="shared" si="15"/>
        <v>88200</v>
      </c>
      <c r="Q18" s="49">
        <f t="shared" si="3"/>
        <v>59999.999999999993</v>
      </c>
      <c r="R18" s="49">
        <f t="shared" si="24"/>
        <v>0</v>
      </c>
      <c r="S18" s="49">
        <f t="shared" si="16"/>
        <v>998200</v>
      </c>
      <c r="T18" s="49">
        <f t="shared" si="17"/>
        <v>910000</v>
      </c>
      <c r="U18" s="49">
        <f t="shared" si="18"/>
        <v>36400</v>
      </c>
      <c r="V18" s="49">
        <f t="shared" si="19"/>
        <v>36400</v>
      </c>
      <c r="W18" s="49">
        <f t="shared" si="20"/>
        <v>0</v>
      </c>
      <c r="X18" s="49">
        <f t="shared" si="4"/>
        <v>59500.000000000007</v>
      </c>
      <c r="Y18" s="49">
        <f t="shared" si="21"/>
        <v>17000</v>
      </c>
      <c r="Z18" s="49">
        <f t="shared" si="22"/>
        <v>149300</v>
      </c>
      <c r="AA18" s="51">
        <f t="shared" si="23"/>
        <v>848900</v>
      </c>
    </row>
    <row r="19" spans="1:27" ht="13.5" thickTop="1" thickBot="1" x14ac:dyDescent="0.25">
      <c r="A19" s="45" t="s">
        <v>22</v>
      </c>
      <c r="B19" s="46" t="str">
        <f t="shared" si="0"/>
        <v>Carolina Rodríguez</v>
      </c>
      <c r="C19" s="46" t="str">
        <f t="shared" si="1"/>
        <v>Aseadora</v>
      </c>
      <c r="D19" s="47">
        <v>30</v>
      </c>
      <c r="E19" s="48">
        <f t="shared" si="2"/>
        <v>26041.4</v>
      </c>
      <c r="F19" s="49">
        <f t="shared" si="5"/>
        <v>781242</v>
      </c>
      <c r="G19" s="50">
        <f t="shared" si="6"/>
        <v>0</v>
      </c>
      <c r="H19" s="50">
        <f t="shared" si="7"/>
        <v>0</v>
      </c>
      <c r="I19" s="50">
        <f t="shared" si="8"/>
        <v>0</v>
      </c>
      <c r="J19" s="50">
        <f t="shared" si="9"/>
        <v>0</v>
      </c>
      <c r="K19" s="49">
        <f t="shared" si="10"/>
        <v>0</v>
      </c>
      <c r="L19" s="49">
        <f t="shared" si="11"/>
        <v>0</v>
      </c>
      <c r="M19" s="49">
        <f t="shared" si="12"/>
        <v>0</v>
      </c>
      <c r="N19" s="49">
        <f t="shared" si="13"/>
        <v>0</v>
      </c>
      <c r="O19" s="49">
        <f t="shared" si="14"/>
        <v>0</v>
      </c>
      <c r="P19" s="49">
        <f t="shared" si="15"/>
        <v>88200</v>
      </c>
      <c r="Q19" s="49">
        <f t="shared" si="3"/>
        <v>0</v>
      </c>
      <c r="R19" s="49">
        <f t="shared" si="24"/>
        <v>0</v>
      </c>
      <c r="S19" s="49">
        <f t="shared" si="16"/>
        <v>869442</v>
      </c>
      <c r="T19" s="49">
        <f t="shared" si="17"/>
        <v>781242</v>
      </c>
      <c r="U19" s="49">
        <f t="shared" si="18"/>
        <v>31249.68</v>
      </c>
      <c r="V19" s="49">
        <f t="shared" si="19"/>
        <v>31249.68</v>
      </c>
      <c r="W19" s="49">
        <f t="shared" si="20"/>
        <v>0</v>
      </c>
      <c r="X19" s="49">
        <f t="shared" si="4"/>
        <v>31249.68</v>
      </c>
      <c r="Y19" s="49">
        <f t="shared" si="21"/>
        <v>3906.21</v>
      </c>
      <c r="Z19" s="49">
        <f t="shared" si="22"/>
        <v>97655.250000000015</v>
      </c>
      <c r="AA19" s="51">
        <f t="shared" si="23"/>
        <v>771786.75</v>
      </c>
    </row>
    <row r="20" spans="1:27" ht="13.5" thickTop="1" thickBot="1" x14ac:dyDescent="0.25">
      <c r="A20" s="45" t="s">
        <v>25</v>
      </c>
      <c r="B20" s="46" t="str">
        <f t="shared" si="0"/>
        <v>Claudia González</v>
      </c>
      <c r="C20" s="46" t="str">
        <f t="shared" si="1"/>
        <v>Vendedor</v>
      </c>
      <c r="D20" s="47">
        <v>25</v>
      </c>
      <c r="E20" s="48">
        <f t="shared" si="2"/>
        <v>28333.333333333332</v>
      </c>
      <c r="F20" s="49">
        <f t="shared" si="5"/>
        <v>850000</v>
      </c>
      <c r="G20" s="50">
        <f t="shared" si="6"/>
        <v>0</v>
      </c>
      <c r="H20" s="50">
        <f t="shared" si="7"/>
        <v>0</v>
      </c>
      <c r="I20" s="50">
        <f t="shared" si="8"/>
        <v>0</v>
      </c>
      <c r="J20" s="50">
        <f t="shared" si="9"/>
        <v>0</v>
      </c>
      <c r="K20" s="49">
        <f t="shared" si="10"/>
        <v>0</v>
      </c>
      <c r="L20" s="49">
        <f t="shared" si="11"/>
        <v>0</v>
      </c>
      <c r="M20" s="49">
        <f t="shared" si="12"/>
        <v>0</v>
      </c>
      <c r="N20" s="49">
        <f t="shared" si="13"/>
        <v>0</v>
      </c>
      <c r="O20" s="49">
        <f t="shared" si="14"/>
        <v>0</v>
      </c>
      <c r="P20" s="49">
        <f t="shared" si="15"/>
        <v>73500</v>
      </c>
      <c r="Q20" s="49">
        <f t="shared" si="3"/>
        <v>59999.999999999993</v>
      </c>
      <c r="R20" s="49">
        <f t="shared" si="24"/>
        <v>0</v>
      </c>
      <c r="S20" s="49">
        <f t="shared" si="16"/>
        <v>983500</v>
      </c>
      <c r="T20" s="49">
        <f t="shared" si="17"/>
        <v>910000</v>
      </c>
      <c r="U20" s="49">
        <f t="shared" si="18"/>
        <v>36400</v>
      </c>
      <c r="V20" s="49">
        <f t="shared" si="19"/>
        <v>36400</v>
      </c>
      <c r="W20" s="49">
        <f t="shared" si="20"/>
        <v>0</v>
      </c>
      <c r="X20" s="49">
        <f t="shared" si="4"/>
        <v>59500.000000000007</v>
      </c>
      <c r="Y20" s="49">
        <f t="shared" si="21"/>
        <v>17000</v>
      </c>
      <c r="Z20" s="49">
        <f t="shared" si="22"/>
        <v>149300</v>
      </c>
      <c r="AA20" s="51">
        <f t="shared" si="23"/>
        <v>834200</v>
      </c>
    </row>
    <row r="21" spans="1:27" ht="13.5" thickTop="1" thickBot="1" x14ac:dyDescent="0.25">
      <c r="A21" s="45" t="s">
        <v>27</v>
      </c>
      <c r="B21" s="46" t="str">
        <f t="shared" si="0"/>
        <v>Diana López</v>
      </c>
      <c r="C21" s="46" t="str">
        <f t="shared" si="1"/>
        <v>Secretaria</v>
      </c>
      <c r="D21" s="47">
        <v>25</v>
      </c>
      <c r="E21" s="48">
        <f t="shared" si="2"/>
        <v>31666.666666666668</v>
      </c>
      <c r="F21" s="49">
        <f t="shared" si="5"/>
        <v>950000</v>
      </c>
      <c r="G21" s="50">
        <f t="shared" si="6"/>
        <v>0</v>
      </c>
      <c r="H21" s="50">
        <f t="shared" si="7"/>
        <v>0</v>
      </c>
      <c r="I21" s="50">
        <f t="shared" si="8"/>
        <v>0</v>
      </c>
      <c r="J21" s="50">
        <f t="shared" si="9"/>
        <v>0</v>
      </c>
      <c r="K21" s="49">
        <f t="shared" si="10"/>
        <v>0</v>
      </c>
      <c r="L21" s="49">
        <f t="shared" si="11"/>
        <v>0</v>
      </c>
      <c r="M21" s="49">
        <f t="shared" si="12"/>
        <v>0</v>
      </c>
      <c r="N21" s="49">
        <f t="shared" si="13"/>
        <v>0</v>
      </c>
      <c r="O21" s="49">
        <f t="shared" si="14"/>
        <v>0</v>
      </c>
      <c r="P21" s="49">
        <f t="shared" si="15"/>
        <v>73500</v>
      </c>
      <c r="Q21" s="49">
        <f t="shared" si="3"/>
        <v>0</v>
      </c>
      <c r="R21" s="49">
        <f t="shared" si="24"/>
        <v>40000</v>
      </c>
      <c r="S21" s="49">
        <f t="shared" si="16"/>
        <v>1063500</v>
      </c>
      <c r="T21" s="49">
        <f t="shared" si="17"/>
        <v>990000</v>
      </c>
      <c r="U21" s="49">
        <f t="shared" si="18"/>
        <v>39600</v>
      </c>
      <c r="V21" s="49">
        <f t="shared" si="19"/>
        <v>39600</v>
      </c>
      <c r="W21" s="49">
        <f t="shared" si="20"/>
        <v>0</v>
      </c>
      <c r="X21" s="49">
        <f t="shared" si="4"/>
        <v>66500</v>
      </c>
      <c r="Y21" s="49">
        <f t="shared" si="21"/>
        <v>19000</v>
      </c>
      <c r="Z21" s="49">
        <f t="shared" si="22"/>
        <v>164700</v>
      </c>
      <c r="AA21" s="51">
        <f t="shared" si="23"/>
        <v>898800</v>
      </c>
    </row>
    <row r="22" spans="1:27" ht="13.5" thickTop="1" thickBot="1" x14ac:dyDescent="0.25">
      <c r="A22" s="45" t="s">
        <v>29</v>
      </c>
      <c r="B22" s="46" t="str">
        <f t="shared" si="0"/>
        <v>Didier Alejandro Sánchez</v>
      </c>
      <c r="C22" s="46" t="str">
        <f t="shared" si="1"/>
        <v>Digitador</v>
      </c>
      <c r="D22" s="47">
        <v>30</v>
      </c>
      <c r="E22" s="48">
        <f t="shared" si="2"/>
        <v>30000</v>
      </c>
      <c r="F22" s="49">
        <f t="shared" si="5"/>
        <v>900000</v>
      </c>
      <c r="G22" s="50">
        <f t="shared" si="6"/>
        <v>0</v>
      </c>
      <c r="H22" s="50">
        <f t="shared" si="7"/>
        <v>0</v>
      </c>
      <c r="I22" s="50">
        <f t="shared" si="8"/>
        <v>0</v>
      </c>
      <c r="J22" s="50">
        <f t="shared" si="9"/>
        <v>0</v>
      </c>
      <c r="K22" s="49">
        <f t="shared" si="10"/>
        <v>0</v>
      </c>
      <c r="L22" s="49">
        <f t="shared" si="11"/>
        <v>0</v>
      </c>
      <c r="M22" s="49">
        <f t="shared" si="12"/>
        <v>0</v>
      </c>
      <c r="N22" s="49">
        <f t="shared" si="13"/>
        <v>0</v>
      </c>
      <c r="O22" s="49">
        <f t="shared" si="14"/>
        <v>0</v>
      </c>
      <c r="P22" s="49">
        <f t="shared" si="15"/>
        <v>88200</v>
      </c>
      <c r="Q22" s="49">
        <f t="shared" si="3"/>
        <v>0</v>
      </c>
      <c r="R22" s="49">
        <f t="shared" si="24"/>
        <v>40000</v>
      </c>
      <c r="S22" s="49">
        <f t="shared" si="16"/>
        <v>1028200</v>
      </c>
      <c r="T22" s="49">
        <f t="shared" si="17"/>
        <v>940000</v>
      </c>
      <c r="U22" s="49">
        <f t="shared" si="18"/>
        <v>37600</v>
      </c>
      <c r="V22" s="49">
        <f t="shared" si="19"/>
        <v>37600</v>
      </c>
      <c r="W22" s="49">
        <f t="shared" si="20"/>
        <v>0</v>
      </c>
      <c r="X22" s="49">
        <f t="shared" si="4"/>
        <v>63000.000000000007</v>
      </c>
      <c r="Y22" s="49">
        <f t="shared" si="21"/>
        <v>18000</v>
      </c>
      <c r="Z22" s="49">
        <f t="shared" si="22"/>
        <v>156200</v>
      </c>
      <c r="AA22" s="51">
        <f t="shared" si="23"/>
        <v>872000</v>
      </c>
    </row>
    <row r="23" spans="1:27" ht="13.5" thickTop="1" thickBot="1" x14ac:dyDescent="0.25">
      <c r="A23" s="45" t="s">
        <v>31</v>
      </c>
      <c r="B23" s="46" t="str">
        <f t="shared" si="0"/>
        <v>Dora Luz Montoya</v>
      </c>
      <c r="C23" s="46" t="str">
        <f t="shared" si="1"/>
        <v>Auxiliar Contable</v>
      </c>
      <c r="D23" s="47">
        <v>30</v>
      </c>
      <c r="E23" s="48">
        <f t="shared" si="2"/>
        <v>36666.666666666664</v>
      </c>
      <c r="F23" s="49">
        <f t="shared" si="5"/>
        <v>1100000</v>
      </c>
      <c r="G23" s="50">
        <f t="shared" si="6"/>
        <v>0</v>
      </c>
      <c r="H23" s="50">
        <f t="shared" si="7"/>
        <v>0</v>
      </c>
      <c r="I23" s="50">
        <f t="shared" si="8"/>
        <v>0</v>
      </c>
      <c r="J23" s="50">
        <f t="shared" si="9"/>
        <v>0</v>
      </c>
      <c r="K23" s="49">
        <f t="shared" si="10"/>
        <v>0</v>
      </c>
      <c r="L23" s="49">
        <f t="shared" si="11"/>
        <v>0</v>
      </c>
      <c r="M23" s="49">
        <f t="shared" si="12"/>
        <v>0</v>
      </c>
      <c r="N23" s="49">
        <f t="shared" si="13"/>
        <v>0</v>
      </c>
      <c r="O23" s="49">
        <f t="shared" si="14"/>
        <v>0</v>
      </c>
      <c r="P23" s="49">
        <f t="shared" si="15"/>
        <v>88200</v>
      </c>
      <c r="Q23" s="49">
        <f t="shared" si="3"/>
        <v>0</v>
      </c>
      <c r="R23" s="49">
        <f t="shared" si="24"/>
        <v>40000</v>
      </c>
      <c r="S23" s="49">
        <f t="shared" si="16"/>
        <v>1228200</v>
      </c>
      <c r="T23" s="49">
        <f t="shared" si="17"/>
        <v>1140000</v>
      </c>
      <c r="U23" s="49">
        <f t="shared" si="18"/>
        <v>45600</v>
      </c>
      <c r="V23" s="49">
        <f t="shared" si="19"/>
        <v>45600</v>
      </c>
      <c r="W23" s="49">
        <f t="shared" si="20"/>
        <v>0</v>
      </c>
      <c r="X23" s="49">
        <f t="shared" si="4"/>
        <v>110000</v>
      </c>
      <c r="Y23" s="49">
        <f t="shared" si="21"/>
        <v>22000</v>
      </c>
      <c r="Z23" s="49">
        <f t="shared" si="22"/>
        <v>223200</v>
      </c>
      <c r="AA23" s="51">
        <f t="shared" si="23"/>
        <v>1005000</v>
      </c>
    </row>
    <row r="24" spans="1:27" ht="13.5" thickTop="1" thickBot="1" x14ac:dyDescent="0.25">
      <c r="A24" s="45" t="s">
        <v>33</v>
      </c>
      <c r="B24" s="46" t="str">
        <f t="shared" si="0"/>
        <v>Doralba Galeano</v>
      </c>
      <c r="C24" s="46" t="str">
        <f t="shared" si="1"/>
        <v>Operaria</v>
      </c>
      <c r="D24" s="47">
        <v>30</v>
      </c>
      <c r="E24" s="48">
        <f t="shared" si="2"/>
        <v>26041.4</v>
      </c>
      <c r="F24" s="49">
        <f t="shared" si="5"/>
        <v>781242</v>
      </c>
      <c r="G24" s="50">
        <f t="shared" si="6"/>
        <v>5</v>
      </c>
      <c r="H24" s="50">
        <f t="shared" si="7"/>
        <v>4</v>
      </c>
      <c r="I24" s="50">
        <f t="shared" si="8"/>
        <v>2</v>
      </c>
      <c r="J24" s="50">
        <f>IF(OR(C24="OPERARIO",C24="OPERARIA"),1,0)</f>
        <v>1</v>
      </c>
      <c r="K24" s="49">
        <f t="shared" si="10"/>
        <v>20344.84375</v>
      </c>
      <c r="L24" s="49">
        <f t="shared" si="11"/>
        <v>22786.225000000002</v>
      </c>
      <c r="M24" s="49">
        <f t="shared" si="12"/>
        <v>14648.2875</v>
      </c>
      <c r="N24" s="49">
        <f t="shared" si="13"/>
        <v>8951.7312500000007</v>
      </c>
      <c r="O24" s="49">
        <f t="shared" si="14"/>
        <v>66731.087500000009</v>
      </c>
      <c r="P24" s="49">
        <f t="shared" si="15"/>
        <v>88200</v>
      </c>
      <c r="Q24" s="49">
        <f t="shared" si="3"/>
        <v>0</v>
      </c>
      <c r="R24" s="49">
        <f t="shared" si="24"/>
        <v>0</v>
      </c>
      <c r="S24" s="49">
        <f t="shared" si="16"/>
        <v>936173.08750000002</v>
      </c>
      <c r="T24" s="49">
        <f t="shared" si="17"/>
        <v>847973.08750000002</v>
      </c>
      <c r="U24" s="49">
        <f t="shared" si="18"/>
        <v>33918.923500000004</v>
      </c>
      <c r="V24" s="49">
        <f t="shared" si="19"/>
        <v>33918.923500000004</v>
      </c>
      <c r="W24" s="49">
        <f t="shared" si="20"/>
        <v>0</v>
      </c>
      <c r="X24" s="49">
        <f t="shared" si="4"/>
        <v>31249.68</v>
      </c>
      <c r="Y24" s="49">
        <f t="shared" si="21"/>
        <v>3906.21</v>
      </c>
      <c r="Z24" s="49">
        <f t="shared" si="22"/>
        <v>102993.73700000001</v>
      </c>
      <c r="AA24" s="51">
        <f t="shared" si="23"/>
        <v>833179.35050000006</v>
      </c>
    </row>
    <row r="25" spans="1:27" ht="13.5" thickTop="1" thickBot="1" x14ac:dyDescent="0.25">
      <c r="A25" s="45" t="s">
        <v>36</v>
      </c>
      <c r="B25" s="46" t="str">
        <f t="shared" si="0"/>
        <v>Eliana Marcela Aguirre</v>
      </c>
      <c r="C25" s="46" t="str">
        <f t="shared" si="1"/>
        <v>Gerente</v>
      </c>
      <c r="D25" s="47">
        <v>30</v>
      </c>
      <c r="E25" s="48">
        <f t="shared" si="2"/>
        <v>300000</v>
      </c>
      <c r="F25" s="49">
        <f t="shared" si="5"/>
        <v>9000000</v>
      </c>
      <c r="G25" s="50">
        <f t="shared" si="6"/>
        <v>0</v>
      </c>
      <c r="H25" s="50">
        <f t="shared" si="7"/>
        <v>0</v>
      </c>
      <c r="I25" s="50">
        <f t="shared" si="8"/>
        <v>0</v>
      </c>
      <c r="J25" s="50">
        <f t="shared" si="9"/>
        <v>0</v>
      </c>
      <c r="K25" s="49">
        <f t="shared" si="10"/>
        <v>0</v>
      </c>
      <c r="L25" s="49">
        <f t="shared" si="11"/>
        <v>0</v>
      </c>
      <c r="M25" s="49">
        <f t="shared" si="12"/>
        <v>0</v>
      </c>
      <c r="N25" s="49">
        <f t="shared" si="13"/>
        <v>0</v>
      </c>
      <c r="O25" s="49">
        <f t="shared" si="14"/>
        <v>0</v>
      </c>
      <c r="P25" s="49">
        <f t="shared" si="15"/>
        <v>0</v>
      </c>
      <c r="Q25" s="49">
        <f t="shared" si="3"/>
        <v>0</v>
      </c>
      <c r="R25" s="49">
        <f t="shared" si="24"/>
        <v>40000</v>
      </c>
      <c r="S25" s="49">
        <f t="shared" si="16"/>
        <v>9040000</v>
      </c>
      <c r="T25" s="49">
        <f t="shared" si="17"/>
        <v>9040000</v>
      </c>
      <c r="U25" s="49">
        <f>T25*70%*$O$48</f>
        <v>253120</v>
      </c>
      <c r="V25" s="49">
        <f>T25*70%*$O$49</f>
        <v>253120</v>
      </c>
      <c r="W25" s="49">
        <f>IF(F25&gt;$R$8,F25*70%*$O$50,0)</f>
        <v>63000</v>
      </c>
      <c r="X25" s="49">
        <f>IF(AND(F25&gt;=850000,F25&lt;=1000000),F25*$Q$54,IF(AND(F25&gt;=1000001,F25&lt;=9000000),F25*$P$54,F25*$R$54))*70%</f>
        <v>630000</v>
      </c>
      <c r="Y25" s="49">
        <f>IF(F25&lt;800000,F25*$O$55,F25*$P$55)*70%</f>
        <v>125999.99999999999</v>
      </c>
      <c r="Z25" s="49">
        <f t="shared" si="22"/>
        <v>1325240</v>
      </c>
      <c r="AA25" s="51">
        <f t="shared" si="23"/>
        <v>7714760</v>
      </c>
    </row>
    <row r="26" spans="1:27" ht="13.5" thickTop="1" thickBot="1" x14ac:dyDescent="0.25">
      <c r="A26" s="45" t="s">
        <v>39</v>
      </c>
      <c r="B26" s="46" t="str">
        <f t="shared" si="0"/>
        <v>Francy Ruby Román</v>
      </c>
      <c r="C26" s="46" t="str">
        <f t="shared" si="1"/>
        <v>Auxiliar Contable</v>
      </c>
      <c r="D26" s="47">
        <v>30</v>
      </c>
      <c r="E26" s="48">
        <f t="shared" si="2"/>
        <v>36666.666666666664</v>
      </c>
      <c r="F26" s="49">
        <f t="shared" si="5"/>
        <v>1100000</v>
      </c>
      <c r="G26" s="50">
        <f t="shared" si="6"/>
        <v>0</v>
      </c>
      <c r="H26" s="50">
        <f t="shared" si="7"/>
        <v>0</v>
      </c>
      <c r="I26" s="50">
        <f t="shared" si="8"/>
        <v>0</v>
      </c>
      <c r="J26" s="50">
        <f t="shared" si="9"/>
        <v>0</v>
      </c>
      <c r="K26" s="49">
        <f t="shared" si="10"/>
        <v>0</v>
      </c>
      <c r="L26" s="49">
        <f t="shared" si="11"/>
        <v>0</v>
      </c>
      <c r="M26" s="49">
        <f t="shared" si="12"/>
        <v>0</v>
      </c>
      <c r="N26" s="49">
        <f t="shared" si="13"/>
        <v>0</v>
      </c>
      <c r="O26" s="49">
        <f t="shared" si="14"/>
        <v>0</v>
      </c>
      <c r="P26" s="49">
        <f t="shared" si="15"/>
        <v>88200</v>
      </c>
      <c r="Q26" s="49">
        <f t="shared" si="3"/>
        <v>0</v>
      </c>
      <c r="R26" s="49">
        <f t="shared" si="24"/>
        <v>40000</v>
      </c>
      <c r="S26" s="49">
        <f t="shared" si="16"/>
        <v>1228200</v>
      </c>
      <c r="T26" s="49">
        <f t="shared" si="17"/>
        <v>1140000</v>
      </c>
      <c r="U26" s="49">
        <f t="shared" si="18"/>
        <v>45600</v>
      </c>
      <c r="V26" s="49">
        <f t="shared" si="19"/>
        <v>45600</v>
      </c>
      <c r="W26" s="49">
        <f t="shared" si="20"/>
        <v>0</v>
      </c>
      <c r="X26" s="49">
        <f t="shared" si="4"/>
        <v>110000</v>
      </c>
      <c r="Y26" s="49">
        <f t="shared" si="21"/>
        <v>22000</v>
      </c>
      <c r="Z26" s="49">
        <f t="shared" si="22"/>
        <v>223200</v>
      </c>
      <c r="AA26" s="51">
        <f t="shared" si="23"/>
        <v>1005000</v>
      </c>
    </row>
    <row r="27" spans="1:27" ht="13.5" thickTop="1" thickBot="1" x14ac:dyDescent="0.25">
      <c r="A27" s="45" t="s">
        <v>41</v>
      </c>
      <c r="B27" s="46" t="str">
        <f t="shared" si="0"/>
        <v>Hernán Darío Hernández</v>
      </c>
      <c r="C27" s="46" t="str">
        <f t="shared" si="1"/>
        <v>Vendedor</v>
      </c>
      <c r="D27" s="47">
        <v>30</v>
      </c>
      <c r="E27" s="48">
        <f t="shared" si="2"/>
        <v>28333.333333333332</v>
      </c>
      <c r="F27" s="49">
        <f t="shared" si="5"/>
        <v>850000</v>
      </c>
      <c r="G27" s="50">
        <f t="shared" si="6"/>
        <v>0</v>
      </c>
      <c r="H27" s="50">
        <f t="shared" si="7"/>
        <v>0</v>
      </c>
      <c r="I27" s="50">
        <f t="shared" si="8"/>
        <v>0</v>
      </c>
      <c r="J27" s="50">
        <f t="shared" si="9"/>
        <v>0</v>
      </c>
      <c r="K27" s="49">
        <f t="shared" si="10"/>
        <v>0</v>
      </c>
      <c r="L27" s="49">
        <f t="shared" si="11"/>
        <v>0</v>
      </c>
      <c r="M27" s="49">
        <f t="shared" si="12"/>
        <v>0</v>
      </c>
      <c r="N27" s="49">
        <f t="shared" si="13"/>
        <v>0</v>
      </c>
      <c r="O27" s="49">
        <f t="shared" si="14"/>
        <v>0</v>
      </c>
      <c r="P27" s="49">
        <f t="shared" si="15"/>
        <v>88200</v>
      </c>
      <c r="Q27" s="49">
        <f t="shared" si="3"/>
        <v>59999.999999999993</v>
      </c>
      <c r="R27" s="49">
        <f t="shared" si="24"/>
        <v>0</v>
      </c>
      <c r="S27" s="49">
        <f t="shared" si="16"/>
        <v>998200</v>
      </c>
      <c r="T27" s="49">
        <f t="shared" si="17"/>
        <v>910000</v>
      </c>
      <c r="U27" s="49">
        <f t="shared" si="18"/>
        <v>36400</v>
      </c>
      <c r="V27" s="49">
        <f t="shared" si="19"/>
        <v>36400</v>
      </c>
      <c r="W27" s="49">
        <f t="shared" si="20"/>
        <v>0</v>
      </c>
      <c r="X27" s="49">
        <f t="shared" si="4"/>
        <v>59500.000000000007</v>
      </c>
      <c r="Y27" s="49">
        <f t="shared" si="21"/>
        <v>17000</v>
      </c>
      <c r="Z27" s="49">
        <f t="shared" si="22"/>
        <v>149300</v>
      </c>
      <c r="AA27" s="51">
        <f t="shared" si="23"/>
        <v>848900</v>
      </c>
    </row>
    <row r="28" spans="1:27" ht="13.5" thickTop="1" thickBot="1" x14ac:dyDescent="0.25">
      <c r="A28" s="45" t="s">
        <v>43</v>
      </c>
      <c r="B28" s="46" t="str">
        <f t="shared" si="0"/>
        <v>Leidy Maritza Herrera</v>
      </c>
      <c r="C28" s="46" t="str">
        <f t="shared" si="1"/>
        <v>Operaria</v>
      </c>
      <c r="D28" s="47">
        <v>30</v>
      </c>
      <c r="E28" s="48">
        <f t="shared" si="2"/>
        <v>26041.4</v>
      </c>
      <c r="F28" s="49">
        <f t="shared" si="5"/>
        <v>781242</v>
      </c>
      <c r="G28" s="50">
        <f t="shared" si="6"/>
        <v>5</v>
      </c>
      <c r="H28" s="50">
        <f t="shared" si="7"/>
        <v>4</v>
      </c>
      <c r="I28" s="50">
        <f t="shared" si="8"/>
        <v>2</v>
      </c>
      <c r="J28" s="50">
        <f>IF(OR(C28="OPERARIO",C28="OPERARIA"),1,0)</f>
        <v>1</v>
      </c>
      <c r="K28" s="49">
        <f t="shared" si="10"/>
        <v>20344.84375</v>
      </c>
      <c r="L28" s="49">
        <f t="shared" si="11"/>
        <v>22786.225000000002</v>
      </c>
      <c r="M28" s="49">
        <f t="shared" si="12"/>
        <v>14648.2875</v>
      </c>
      <c r="N28" s="49">
        <f t="shared" si="13"/>
        <v>8951.7312500000007</v>
      </c>
      <c r="O28" s="49">
        <f t="shared" si="14"/>
        <v>66731.087500000009</v>
      </c>
      <c r="P28" s="49">
        <f t="shared" si="15"/>
        <v>88200</v>
      </c>
      <c r="Q28" s="49">
        <f t="shared" si="3"/>
        <v>0</v>
      </c>
      <c r="R28" s="49">
        <f t="shared" si="24"/>
        <v>0</v>
      </c>
      <c r="S28" s="49">
        <f t="shared" si="16"/>
        <v>936173.08750000002</v>
      </c>
      <c r="T28" s="49">
        <f t="shared" si="17"/>
        <v>847973.08750000002</v>
      </c>
      <c r="U28" s="49">
        <f t="shared" si="18"/>
        <v>33918.923500000004</v>
      </c>
      <c r="V28" s="49">
        <f t="shared" si="19"/>
        <v>33918.923500000004</v>
      </c>
      <c r="W28" s="49">
        <f t="shared" si="20"/>
        <v>0</v>
      </c>
      <c r="X28" s="49">
        <f t="shared" si="4"/>
        <v>31249.68</v>
      </c>
      <c r="Y28" s="49">
        <f t="shared" si="21"/>
        <v>3906.21</v>
      </c>
      <c r="Z28" s="49">
        <f t="shared" si="22"/>
        <v>102993.73700000001</v>
      </c>
      <c r="AA28" s="51">
        <f t="shared" si="23"/>
        <v>833179.35050000006</v>
      </c>
    </row>
    <row r="29" spans="1:27" ht="13.5" thickTop="1" thickBot="1" x14ac:dyDescent="0.25">
      <c r="A29" s="45" t="s">
        <v>45</v>
      </c>
      <c r="B29" s="46" t="str">
        <f t="shared" si="0"/>
        <v>Leidy Rosalía Galvis</v>
      </c>
      <c r="C29" s="46" t="str">
        <f t="shared" si="1"/>
        <v>Auxiliar Contable</v>
      </c>
      <c r="D29" s="47">
        <v>30</v>
      </c>
      <c r="E29" s="48">
        <f t="shared" si="2"/>
        <v>36666.666666666664</v>
      </c>
      <c r="F29" s="49">
        <f t="shared" si="5"/>
        <v>1100000</v>
      </c>
      <c r="G29" s="50">
        <f t="shared" si="6"/>
        <v>0</v>
      </c>
      <c r="H29" s="50">
        <f t="shared" si="7"/>
        <v>0</v>
      </c>
      <c r="I29" s="50">
        <f t="shared" si="8"/>
        <v>0</v>
      </c>
      <c r="J29" s="50">
        <f t="shared" si="9"/>
        <v>0</v>
      </c>
      <c r="K29" s="49">
        <f t="shared" si="10"/>
        <v>0</v>
      </c>
      <c r="L29" s="49">
        <f t="shared" si="11"/>
        <v>0</v>
      </c>
      <c r="M29" s="49">
        <f t="shared" si="12"/>
        <v>0</v>
      </c>
      <c r="N29" s="49">
        <f t="shared" si="13"/>
        <v>0</v>
      </c>
      <c r="O29" s="49">
        <f t="shared" si="14"/>
        <v>0</v>
      </c>
      <c r="P29" s="49">
        <f t="shared" si="15"/>
        <v>88200</v>
      </c>
      <c r="Q29" s="49">
        <f t="shared" si="3"/>
        <v>0</v>
      </c>
      <c r="R29" s="49">
        <f t="shared" si="24"/>
        <v>40000</v>
      </c>
      <c r="S29" s="49">
        <f t="shared" si="16"/>
        <v>1228200</v>
      </c>
      <c r="T29" s="49">
        <f t="shared" si="17"/>
        <v>1140000</v>
      </c>
      <c r="U29" s="49">
        <f t="shared" si="18"/>
        <v>45600</v>
      </c>
      <c r="V29" s="49">
        <f t="shared" si="19"/>
        <v>45600</v>
      </c>
      <c r="W29" s="49">
        <f t="shared" si="20"/>
        <v>0</v>
      </c>
      <c r="X29" s="49">
        <f t="shared" si="4"/>
        <v>110000</v>
      </c>
      <c r="Y29" s="49">
        <f t="shared" si="21"/>
        <v>22000</v>
      </c>
      <c r="Z29" s="49">
        <f t="shared" si="22"/>
        <v>223200</v>
      </c>
      <c r="AA29" s="51">
        <f t="shared" si="23"/>
        <v>1005000</v>
      </c>
    </row>
    <row r="30" spans="1:27" ht="13.5" thickTop="1" thickBot="1" x14ac:dyDescent="0.25">
      <c r="A30" s="45" t="s">
        <v>47</v>
      </c>
      <c r="B30" s="46" t="str">
        <f t="shared" si="0"/>
        <v>Luis Fernando Vanegas</v>
      </c>
      <c r="C30" s="46" t="str">
        <f t="shared" si="1"/>
        <v>Digitador</v>
      </c>
      <c r="D30" s="47">
        <v>30</v>
      </c>
      <c r="E30" s="48">
        <f t="shared" si="2"/>
        <v>30000</v>
      </c>
      <c r="F30" s="49">
        <f t="shared" si="5"/>
        <v>900000</v>
      </c>
      <c r="G30" s="50">
        <f t="shared" si="6"/>
        <v>0</v>
      </c>
      <c r="H30" s="50">
        <f t="shared" si="7"/>
        <v>0</v>
      </c>
      <c r="I30" s="50">
        <f t="shared" si="8"/>
        <v>0</v>
      </c>
      <c r="J30" s="50">
        <f t="shared" si="9"/>
        <v>0</v>
      </c>
      <c r="K30" s="49">
        <f t="shared" si="10"/>
        <v>0</v>
      </c>
      <c r="L30" s="49">
        <f t="shared" si="11"/>
        <v>0</v>
      </c>
      <c r="M30" s="49">
        <f t="shared" si="12"/>
        <v>0</v>
      </c>
      <c r="N30" s="49">
        <f t="shared" si="13"/>
        <v>0</v>
      </c>
      <c r="O30" s="49">
        <f t="shared" si="14"/>
        <v>0</v>
      </c>
      <c r="P30" s="49">
        <f t="shared" si="15"/>
        <v>88200</v>
      </c>
      <c r="Q30" s="49">
        <f t="shared" si="3"/>
        <v>0</v>
      </c>
      <c r="R30" s="49">
        <f t="shared" si="24"/>
        <v>40000</v>
      </c>
      <c r="S30" s="49">
        <f t="shared" si="16"/>
        <v>1028200</v>
      </c>
      <c r="T30" s="49">
        <f t="shared" si="17"/>
        <v>940000</v>
      </c>
      <c r="U30" s="49">
        <f t="shared" si="18"/>
        <v>37600</v>
      </c>
      <c r="V30" s="49">
        <f t="shared" si="19"/>
        <v>37600</v>
      </c>
      <c r="W30" s="49">
        <f t="shared" si="20"/>
        <v>0</v>
      </c>
      <c r="X30" s="49">
        <f t="shared" si="4"/>
        <v>63000.000000000007</v>
      </c>
      <c r="Y30" s="49">
        <f t="shared" si="21"/>
        <v>18000</v>
      </c>
      <c r="Z30" s="49">
        <f t="shared" si="22"/>
        <v>156200</v>
      </c>
      <c r="AA30" s="51">
        <f t="shared" si="23"/>
        <v>872000</v>
      </c>
    </row>
    <row r="31" spans="1:27" ht="13.5" thickTop="1" thickBot="1" x14ac:dyDescent="0.25">
      <c r="A31" s="45" t="s">
        <v>49</v>
      </c>
      <c r="B31" s="46" t="str">
        <f t="shared" si="0"/>
        <v>Liliana Ríos</v>
      </c>
      <c r="C31" s="46" t="str">
        <f t="shared" si="1"/>
        <v>Vendedor</v>
      </c>
      <c r="D31" s="47">
        <v>30</v>
      </c>
      <c r="E31" s="48">
        <f t="shared" si="2"/>
        <v>28333.333333333332</v>
      </c>
      <c r="F31" s="49">
        <f t="shared" si="5"/>
        <v>850000</v>
      </c>
      <c r="G31" s="50">
        <f t="shared" si="6"/>
        <v>0</v>
      </c>
      <c r="H31" s="50">
        <f t="shared" si="7"/>
        <v>0</v>
      </c>
      <c r="I31" s="50">
        <f t="shared" si="8"/>
        <v>0</v>
      </c>
      <c r="J31" s="50">
        <f t="shared" si="9"/>
        <v>0</v>
      </c>
      <c r="K31" s="49">
        <f t="shared" si="10"/>
        <v>0</v>
      </c>
      <c r="L31" s="49">
        <f t="shared" si="11"/>
        <v>0</v>
      </c>
      <c r="M31" s="49">
        <f t="shared" si="12"/>
        <v>0</v>
      </c>
      <c r="N31" s="49">
        <f t="shared" si="13"/>
        <v>0</v>
      </c>
      <c r="O31" s="49">
        <f t="shared" si="14"/>
        <v>0</v>
      </c>
      <c r="P31" s="49">
        <f t="shared" si="15"/>
        <v>88200</v>
      </c>
      <c r="Q31" s="49">
        <f t="shared" si="3"/>
        <v>59999.999999999993</v>
      </c>
      <c r="R31" s="49">
        <f t="shared" si="24"/>
        <v>0</v>
      </c>
      <c r="S31" s="49">
        <f t="shared" si="16"/>
        <v>998200</v>
      </c>
      <c r="T31" s="49">
        <f t="shared" si="17"/>
        <v>910000</v>
      </c>
      <c r="U31" s="49">
        <f t="shared" si="18"/>
        <v>36400</v>
      </c>
      <c r="V31" s="49">
        <f t="shared" si="19"/>
        <v>36400</v>
      </c>
      <c r="W31" s="49">
        <f t="shared" si="20"/>
        <v>0</v>
      </c>
      <c r="X31" s="49">
        <f t="shared" si="4"/>
        <v>59500.000000000007</v>
      </c>
      <c r="Y31" s="49">
        <f t="shared" si="21"/>
        <v>17000</v>
      </c>
      <c r="Z31" s="49">
        <f t="shared" si="22"/>
        <v>149300</v>
      </c>
      <c r="AA31" s="51">
        <f t="shared" si="23"/>
        <v>848900</v>
      </c>
    </row>
    <row r="32" spans="1:27" ht="13.5" thickTop="1" thickBot="1" x14ac:dyDescent="0.25">
      <c r="A32" s="45" t="s">
        <v>51</v>
      </c>
      <c r="B32" s="46" t="str">
        <f t="shared" si="0"/>
        <v>Luz Enith Betancur</v>
      </c>
      <c r="C32" s="46" t="str">
        <f t="shared" si="1"/>
        <v>Auxiliar Contable</v>
      </c>
      <c r="D32" s="47">
        <v>30</v>
      </c>
      <c r="E32" s="48">
        <f t="shared" si="2"/>
        <v>36666.666666666664</v>
      </c>
      <c r="F32" s="49">
        <f t="shared" si="5"/>
        <v>1100000</v>
      </c>
      <c r="G32" s="50">
        <f t="shared" si="6"/>
        <v>0</v>
      </c>
      <c r="H32" s="50">
        <f t="shared" si="7"/>
        <v>0</v>
      </c>
      <c r="I32" s="50">
        <f t="shared" si="8"/>
        <v>0</v>
      </c>
      <c r="J32" s="50">
        <f t="shared" si="9"/>
        <v>0</v>
      </c>
      <c r="K32" s="49">
        <f t="shared" si="10"/>
        <v>0</v>
      </c>
      <c r="L32" s="49">
        <f t="shared" si="11"/>
        <v>0</v>
      </c>
      <c r="M32" s="49">
        <f t="shared" si="12"/>
        <v>0</v>
      </c>
      <c r="N32" s="49">
        <f t="shared" si="13"/>
        <v>0</v>
      </c>
      <c r="O32" s="49">
        <f t="shared" si="14"/>
        <v>0</v>
      </c>
      <c r="P32" s="49">
        <f t="shared" si="15"/>
        <v>88200</v>
      </c>
      <c r="Q32" s="49">
        <f t="shared" si="3"/>
        <v>0</v>
      </c>
      <c r="R32" s="49">
        <f t="shared" si="24"/>
        <v>40000</v>
      </c>
      <c r="S32" s="49">
        <f t="shared" si="16"/>
        <v>1228200</v>
      </c>
      <c r="T32" s="49">
        <f t="shared" si="17"/>
        <v>1140000</v>
      </c>
      <c r="U32" s="49">
        <f t="shared" si="18"/>
        <v>45600</v>
      </c>
      <c r="V32" s="49">
        <f t="shared" si="19"/>
        <v>45600</v>
      </c>
      <c r="W32" s="49">
        <f t="shared" si="20"/>
        <v>0</v>
      </c>
      <c r="X32" s="49">
        <f t="shared" si="4"/>
        <v>110000</v>
      </c>
      <c r="Y32" s="49">
        <f t="shared" si="21"/>
        <v>22000</v>
      </c>
      <c r="Z32" s="49">
        <f t="shared" si="22"/>
        <v>223200</v>
      </c>
      <c r="AA32" s="51">
        <f t="shared" si="23"/>
        <v>1005000</v>
      </c>
    </row>
    <row r="33" spans="1:27" ht="13.5" thickTop="1" thickBot="1" x14ac:dyDescent="0.25">
      <c r="A33" s="45" t="s">
        <v>53</v>
      </c>
      <c r="B33" s="46" t="str">
        <f t="shared" si="0"/>
        <v>Maricela López</v>
      </c>
      <c r="C33" s="46" t="str">
        <f t="shared" si="1"/>
        <v>Operaria</v>
      </c>
      <c r="D33" s="47">
        <v>30</v>
      </c>
      <c r="E33" s="48">
        <f t="shared" si="2"/>
        <v>26041.4</v>
      </c>
      <c r="F33" s="49">
        <f t="shared" si="5"/>
        <v>781242</v>
      </c>
      <c r="G33" s="50">
        <f t="shared" si="6"/>
        <v>5</v>
      </c>
      <c r="H33" s="50">
        <f t="shared" si="7"/>
        <v>4</v>
      </c>
      <c r="I33" s="50">
        <f t="shared" si="8"/>
        <v>2</v>
      </c>
      <c r="J33" s="50">
        <f>IF(OR(C33="OPERARIO",C33="OPERARIA"),1,0)</f>
        <v>1</v>
      </c>
      <c r="K33" s="49">
        <f t="shared" si="10"/>
        <v>20344.84375</v>
      </c>
      <c r="L33" s="49">
        <f t="shared" si="11"/>
        <v>22786.225000000002</v>
      </c>
      <c r="M33" s="49">
        <f t="shared" si="12"/>
        <v>14648.2875</v>
      </c>
      <c r="N33" s="49">
        <f t="shared" si="13"/>
        <v>8951.7312500000007</v>
      </c>
      <c r="O33" s="49">
        <f t="shared" si="14"/>
        <v>66731.087500000009</v>
      </c>
      <c r="P33" s="49">
        <f t="shared" si="15"/>
        <v>88200</v>
      </c>
      <c r="Q33" s="49">
        <f t="shared" si="3"/>
        <v>0</v>
      </c>
      <c r="R33" s="49">
        <f t="shared" si="24"/>
        <v>0</v>
      </c>
      <c r="S33" s="49">
        <f t="shared" si="16"/>
        <v>936173.08750000002</v>
      </c>
      <c r="T33" s="49">
        <f t="shared" si="17"/>
        <v>847973.08750000002</v>
      </c>
      <c r="U33" s="49">
        <f t="shared" si="18"/>
        <v>33918.923500000004</v>
      </c>
      <c r="V33" s="49">
        <f t="shared" si="19"/>
        <v>33918.923500000004</v>
      </c>
      <c r="W33" s="49">
        <f t="shared" si="20"/>
        <v>0</v>
      </c>
      <c r="X33" s="49">
        <f t="shared" si="4"/>
        <v>31249.68</v>
      </c>
      <c r="Y33" s="49">
        <f t="shared" si="21"/>
        <v>3906.21</v>
      </c>
      <c r="Z33" s="49">
        <f t="shared" si="22"/>
        <v>102993.73700000001</v>
      </c>
      <c r="AA33" s="51">
        <f t="shared" si="23"/>
        <v>833179.35050000006</v>
      </c>
    </row>
    <row r="34" spans="1:27" ht="13.5" thickTop="1" thickBot="1" x14ac:dyDescent="0.25">
      <c r="A34" s="45" t="s">
        <v>55</v>
      </c>
      <c r="B34" s="46" t="str">
        <f t="shared" si="0"/>
        <v>Martha Deisy Ceballos</v>
      </c>
      <c r="C34" s="46" t="str">
        <f t="shared" si="1"/>
        <v>Digitadora</v>
      </c>
      <c r="D34" s="47">
        <v>30</v>
      </c>
      <c r="E34" s="48">
        <f t="shared" si="2"/>
        <v>30000</v>
      </c>
      <c r="F34" s="49">
        <f t="shared" si="5"/>
        <v>900000</v>
      </c>
      <c r="G34" s="50">
        <f t="shared" si="6"/>
        <v>0</v>
      </c>
      <c r="H34" s="50">
        <f t="shared" si="7"/>
        <v>0</v>
      </c>
      <c r="I34" s="50">
        <f t="shared" si="8"/>
        <v>0</v>
      </c>
      <c r="J34" s="50">
        <f t="shared" si="9"/>
        <v>0</v>
      </c>
      <c r="K34" s="49">
        <f t="shared" si="10"/>
        <v>0</v>
      </c>
      <c r="L34" s="49">
        <f t="shared" si="11"/>
        <v>0</v>
      </c>
      <c r="M34" s="49">
        <f t="shared" si="12"/>
        <v>0</v>
      </c>
      <c r="N34" s="49">
        <f t="shared" si="13"/>
        <v>0</v>
      </c>
      <c r="O34" s="49">
        <f t="shared" si="14"/>
        <v>0</v>
      </c>
      <c r="P34" s="49">
        <f t="shared" si="15"/>
        <v>88200</v>
      </c>
      <c r="Q34" s="49">
        <f t="shared" si="3"/>
        <v>0</v>
      </c>
      <c r="R34" s="49">
        <f t="shared" si="24"/>
        <v>40000</v>
      </c>
      <c r="S34" s="49">
        <f t="shared" si="16"/>
        <v>1028200</v>
      </c>
      <c r="T34" s="49">
        <f t="shared" si="17"/>
        <v>940000</v>
      </c>
      <c r="U34" s="49">
        <f t="shared" si="18"/>
        <v>37600</v>
      </c>
      <c r="V34" s="49">
        <f t="shared" si="19"/>
        <v>37600</v>
      </c>
      <c r="W34" s="49">
        <f t="shared" si="20"/>
        <v>0</v>
      </c>
      <c r="X34" s="49">
        <f t="shared" si="4"/>
        <v>63000.000000000007</v>
      </c>
      <c r="Y34" s="49">
        <f t="shared" si="21"/>
        <v>18000</v>
      </c>
      <c r="Z34" s="49">
        <f t="shared" si="22"/>
        <v>156200</v>
      </c>
      <c r="AA34" s="51">
        <f t="shared" si="23"/>
        <v>872000</v>
      </c>
    </row>
    <row r="35" spans="1:27" ht="13.5" thickTop="1" thickBot="1" x14ac:dyDescent="0.25">
      <c r="A35" s="45" t="s">
        <v>58</v>
      </c>
      <c r="B35" s="46" t="str">
        <f t="shared" si="0"/>
        <v>Mauricio Alzate</v>
      </c>
      <c r="C35" s="46" t="str">
        <f t="shared" si="1"/>
        <v>Operario</v>
      </c>
      <c r="D35" s="47">
        <v>30</v>
      </c>
      <c r="E35" s="48">
        <f t="shared" si="2"/>
        <v>26041.4</v>
      </c>
      <c r="F35" s="49">
        <f t="shared" si="5"/>
        <v>781242</v>
      </c>
      <c r="G35" s="50">
        <f t="shared" si="6"/>
        <v>5</v>
      </c>
      <c r="H35" s="50">
        <f t="shared" si="7"/>
        <v>4</v>
      </c>
      <c r="I35" s="50">
        <f t="shared" si="8"/>
        <v>2</v>
      </c>
      <c r="J35" s="50">
        <f>IF(OR(C35="OPERARIO",C35="OPERARIA"),1,0)</f>
        <v>1</v>
      </c>
      <c r="K35" s="49">
        <f t="shared" si="10"/>
        <v>20344.84375</v>
      </c>
      <c r="L35" s="49">
        <f t="shared" si="11"/>
        <v>22786.225000000002</v>
      </c>
      <c r="M35" s="49">
        <f t="shared" si="12"/>
        <v>14648.2875</v>
      </c>
      <c r="N35" s="49">
        <f t="shared" si="13"/>
        <v>8951.7312500000007</v>
      </c>
      <c r="O35" s="49">
        <f t="shared" si="14"/>
        <v>66731.087500000009</v>
      </c>
      <c r="P35" s="49">
        <f t="shared" si="15"/>
        <v>88200</v>
      </c>
      <c r="Q35" s="49">
        <f t="shared" si="3"/>
        <v>0</v>
      </c>
      <c r="R35" s="49">
        <f t="shared" si="24"/>
        <v>0</v>
      </c>
      <c r="S35" s="49">
        <f t="shared" si="16"/>
        <v>936173.08750000002</v>
      </c>
      <c r="T35" s="49">
        <f t="shared" si="17"/>
        <v>847973.08750000002</v>
      </c>
      <c r="U35" s="49">
        <f t="shared" si="18"/>
        <v>33918.923500000004</v>
      </c>
      <c r="V35" s="49">
        <f t="shared" si="19"/>
        <v>33918.923500000004</v>
      </c>
      <c r="W35" s="49">
        <f t="shared" si="20"/>
        <v>0</v>
      </c>
      <c r="X35" s="49">
        <f t="shared" si="4"/>
        <v>31249.68</v>
      </c>
      <c r="Y35" s="49">
        <f t="shared" si="21"/>
        <v>3906.21</v>
      </c>
      <c r="Z35" s="49">
        <f t="shared" si="22"/>
        <v>102993.73700000001</v>
      </c>
      <c r="AA35" s="51">
        <f t="shared" si="23"/>
        <v>833179.35050000006</v>
      </c>
    </row>
    <row r="36" spans="1:27" ht="13.5" thickTop="1" thickBot="1" x14ac:dyDescent="0.25">
      <c r="A36" s="45" t="s">
        <v>60</v>
      </c>
      <c r="B36" s="46" t="str">
        <f t="shared" si="0"/>
        <v>Mónica Yurany Giraldo</v>
      </c>
      <c r="C36" s="46" t="str">
        <f t="shared" si="1"/>
        <v>Secretaria</v>
      </c>
      <c r="D36" s="47">
        <v>30</v>
      </c>
      <c r="E36" s="48">
        <f t="shared" si="2"/>
        <v>31666.666666666668</v>
      </c>
      <c r="F36" s="49">
        <f t="shared" si="5"/>
        <v>950000</v>
      </c>
      <c r="G36" s="50">
        <f t="shared" si="6"/>
        <v>0</v>
      </c>
      <c r="H36" s="50">
        <f t="shared" si="7"/>
        <v>0</v>
      </c>
      <c r="I36" s="50">
        <f t="shared" si="8"/>
        <v>0</v>
      </c>
      <c r="J36" s="50">
        <f t="shared" si="9"/>
        <v>0</v>
      </c>
      <c r="K36" s="49">
        <f t="shared" si="10"/>
        <v>0</v>
      </c>
      <c r="L36" s="49">
        <f t="shared" si="11"/>
        <v>0</v>
      </c>
      <c r="M36" s="49">
        <f t="shared" si="12"/>
        <v>0</v>
      </c>
      <c r="N36" s="49">
        <f t="shared" si="13"/>
        <v>0</v>
      </c>
      <c r="O36" s="49">
        <f t="shared" si="14"/>
        <v>0</v>
      </c>
      <c r="P36" s="49">
        <f t="shared" si="15"/>
        <v>88200</v>
      </c>
      <c r="Q36" s="49">
        <f t="shared" si="3"/>
        <v>0</v>
      </c>
      <c r="R36" s="49">
        <f t="shared" si="24"/>
        <v>40000</v>
      </c>
      <c r="S36" s="49">
        <f t="shared" si="16"/>
        <v>1078200</v>
      </c>
      <c r="T36" s="49">
        <f t="shared" si="17"/>
        <v>990000</v>
      </c>
      <c r="U36" s="49">
        <f t="shared" si="18"/>
        <v>39600</v>
      </c>
      <c r="V36" s="49">
        <f t="shared" si="19"/>
        <v>39600</v>
      </c>
      <c r="W36" s="49">
        <f t="shared" si="20"/>
        <v>0</v>
      </c>
      <c r="X36" s="49">
        <f t="shared" si="4"/>
        <v>66500</v>
      </c>
      <c r="Y36" s="49">
        <f t="shared" si="21"/>
        <v>19000</v>
      </c>
      <c r="Z36" s="49">
        <f t="shared" si="22"/>
        <v>164700</v>
      </c>
      <c r="AA36" s="51">
        <f t="shared" si="23"/>
        <v>913500</v>
      </c>
    </row>
    <row r="37" spans="1:27" ht="13.5" thickTop="1" thickBot="1" x14ac:dyDescent="0.25">
      <c r="A37" s="45" t="s">
        <v>62</v>
      </c>
      <c r="B37" s="46" t="str">
        <f t="shared" si="0"/>
        <v>Nayibet Galvis</v>
      </c>
      <c r="C37" s="46" t="str">
        <f t="shared" si="1"/>
        <v>Operaria</v>
      </c>
      <c r="D37" s="47">
        <v>30</v>
      </c>
      <c r="E37" s="48">
        <f t="shared" si="2"/>
        <v>26041.4</v>
      </c>
      <c r="F37" s="49">
        <f t="shared" si="5"/>
        <v>781242</v>
      </c>
      <c r="G37" s="50">
        <f t="shared" si="6"/>
        <v>5</v>
      </c>
      <c r="H37" s="50">
        <f t="shared" si="7"/>
        <v>4</v>
      </c>
      <c r="I37" s="50">
        <f t="shared" si="8"/>
        <v>2</v>
      </c>
      <c r="J37" s="50">
        <f>IF(OR(C37="OPERARIO",C37="OPERARIA"),1,0)</f>
        <v>1</v>
      </c>
      <c r="K37" s="49">
        <f t="shared" si="10"/>
        <v>20344.84375</v>
      </c>
      <c r="L37" s="49">
        <f t="shared" si="11"/>
        <v>22786.225000000002</v>
      </c>
      <c r="M37" s="49">
        <f t="shared" si="12"/>
        <v>14648.2875</v>
      </c>
      <c r="N37" s="49">
        <f t="shared" si="13"/>
        <v>8951.7312500000007</v>
      </c>
      <c r="O37" s="49">
        <f t="shared" si="14"/>
        <v>66731.087500000009</v>
      </c>
      <c r="P37" s="49">
        <f t="shared" si="15"/>
        <v>88200</v>
      </c>
      <c r="Q37" s="49">
        <f t="shared" si="3"/>
        <v>0</v>
      </c>
      <c r="R37" s="49">
        <f t="shared" si="24"/>
        <v>0</v>
      </c>
      <c r="S37" s="49">
        <f t="shared" si="16"/>
        <v>936173.08750000002</v>
      </c>
      <c r="T37" s="49">
        <f t="shared" si="17"/>
        <v>847973.08750000002</v>
      </c>
      <c r="U37" s="49">
        <f t="shared" si="18"/>
        <v>33918.923500000004</v>
      </c>
      <c r="V37" s="49">
        <f t="shared" si="19"/>
        <v>33918.923500000004</v>
      </c>
      <c r="W37" s="49">
        <f t="shared" si="20"/>
        <v>0</v>
      </c>
      <c r="X37" s="49">
        <f t="shared" si="4"/>
        <v>31249.68</v>
      </c>
      <c r="Y37" s="49">
        <f t="shared" si="21"/>
        <v>3906.21</v>
      </c>
      <c r="Z37" s="49">
        <f t="shared" si="22"/>
        <v>102993.73700000001</v>
      </c>
      <c r="AA37" s="51">
        <f t="shared" si="23"/>
        <v>833179.35050000006</v>
      </c>
    </row>
    <row r="38" spans="1:27" ht="13.5" thickTop="1" thickBot="1" x14ac:dyDescent="0.25">
      <c r="A38" s="45" t="s">
        <v>64</v>
      </c>
      <c r="B38" s="46" t="str">
        <f t="shared" si="0"/>
        <v>Patricia Rodriguez</v>
      </c>
      <c r="C38" s="46" t="str">
        <f t="shared" si="1"/>
        <v>Operaria</v>
      </c>
      <c r="D38" s="47">
        <v>30</v>
      </c>
      <c r="E38" s="48">
        <f t="shared" si="2"/>
        <v>26041.4</v>
      </c>
      <c r="F38" s="49">
        <f t="shared" si="5"/>
        <v>781242</v>
      </c>
      <c r="G38" s="50">
        <f t="shared" si="6"/>
        <v>5</v>
      </c>
      <c r="H38" s="50">
        <f t="shared" si="7"/>
        <v>4</v>
      </c>
      <c r="I38" s="50">
        <f t="shared" si="8"/>
        <v>2</v>
      </c>
      <c r="J38" s="50">
        <f>IF(OR(C38="OPERARIO",C38="OPERARIA"),1,0)</f>
        <v>1</v>
      </c>
      <c r="K38" s="49">
        <f t="shared" si="10"/>
        <v>20344.84375</v>
      </c>
      <c r="L38" s="49">
        <f t="shared" si="11"/>
        <v>22786.225000000002</v>
      </c>
      <c r="M38" s="49">
        <f t="shared" si="12"/>
        <v>14648.2875</v>
      </c>
      <c r="N38" s="49">
        <f t="shared" si="13"/>
        <v>8951.7312500000007</v>
      </c>
      <c r="O38" s="49">
        <f t="shared" si="14"/>
        <v>66731.087500000009</v>
      </c>
      <c r="P38" s="49">
        <f t="shared" si="15"/>
        <v>88200</v>
      </c>
      <c r="Q38" s="49">
        <f t="shared" si="3"/>
        <v>0</v>
      </c>
      <c r="R38" s="49">
        <f t="shared" si="24"/>
        <v>0</v>
      </c>
      <c r="S38" s="49">
        <f t="shared" si="16"/>
        <v>936173.08750000002</v>
      </c>
      <c r="T38" s="49">
        <f t="shared" si="17"/>
        <v>847973.08750000002</v>
      </c>
      <c r="U38" s="49">
        <f t="shared" si="18"/>
        <v>33918.923500000004</v>
      </c>
      <c r="V38" s="49">
        <f t="shared" si="19"/>
        <v>33918.923500000004</v>
      </c>
      <c r="W38" s="49">
        <f t="shared" si="20"/>
        <v>0</v>
      </c>
      <c r="X38" s="49">
        <f t="shared" si="4"/>
        <v>31249.68</v>
      </c>
      <c r="Y38" s="49">
        <f t="shared" si="21"/>
        <v>3906.21</v>
      </c>
      <c r="Z38" s="49">
        <f t="shared" si="22"/>
        <v>102993.73700000001</v>
      </c>
      <c r="AA38" s="51">
        <f t="shared" si="23"/>
        <v>833179.35050000006</v>
      </c>
    </row>
    <row r="39" spans="1:27" ht="13.5" thickTop="1" thickBot="1" x14ac:dyDescent="0.25">
      <c r="A39" s="45" t="s">
        <v>66</v>
      </c>
      <c r="B39" s="46" t="str">
        <f t="shared" si="0"/>
        <v>Sandra Marcela Rojas</v>
      </c>
      <c r="C39" s="46" t="str">
        <f t="shared" si="1"/>
        <v>Operaria</v>
      </c>
      <c r="D39" s="47">
        <v>30</v>
      </c>
      <c r="E39" s="48">
        <f t="shared" si="2"/>
        <v>26041.4</v>
      </c>
      <c r="F39" s="49">
        <f t="shared" si="5"/>
        <v>781242</v>
      </c>
      <c r="G39" s="50">
        <f t="shared" si="6"/>
        <v>5</v>
      </c>
      <c r="H39" s="50">
        <f t="shared" si="7"/>
        <v>4</v>
      </c>
      <c r="I39" s="50">
        <f t="shared" si="8"/>
        <v>2</v>
      </c>
      <c r="J39" s="50">
        <f>IF(OR(C39="OPERARIO",C39="OPERARIA"),1,0)</f>
        <v>1</v>
      </c>
      <c r="K39" s="49">
        <f t="shared" si="10"/>
        <v>20344.84375</v>
      </c>
      <c r="L39" s="49">
        <f t="shared" si="11"/>
        <v>22786.225000000002</v>
      </c>
      <c r="M39" s="49">
        <f t="shared" si="12"/>
        <v>14648.2875</v>
      </c>
      <c r="N39" s="49">
        <f t="shared" si="13"/>
        <v>8951.7312500000007</v>
      </c>
      <c r="O39" s="49">
        <f t="shared" si="14"/>
        <v>66731.087500000009</v>
      </c>
      <c r="P39" s="49">
        <f t="shared" si="15"/>
        <v>88200</v>
      </c>
      <c r="Q39" s="49">
        <f t="shared" si="3"/>
        <v>0</v>
      </c>
      <c r="R39" s="49">
        <f t="shared" si="24"/>
        <v>0</v>
      </c>
      <c r="S39" s="49">
        <f t="shared" si="16"/>
        <v>936173.08750000002</v>
      </c>
      <c r="T39" s="49">
        <f t="shared" si="17"/>
        <v>847973.08750000002</v>
      </c>
      <c r="U39" s="49">
        <f t="shared" si="18"/>
        <v>33918.923500000004</v>
      </c>
      <c r="V39" s="49">
        <f t="shared" si="19"/>
        <v>33918.923500000004</v>
      </c>
      <c r="W39" s="49">
        <f t="shared" si="20"/>
        <v>0</v>
      </c>
      <c r="X39" s="49">
        <f t="shared" si="4"/>
        <v>31249.68</v>
      </c>
      <c r="Y39" s="49">
        <f t="shared" si="21"/>
        <v>3906.21</v>
      </c>
      <c r="Z39" s="49">
        <f t="shared" si="22"/>
        <v>102993.73700000001</v>
      </c>
      <c r="AA39" s="51">
        <f t="shared" si="23"/>
        <v>833179.35050000006</v>
      </c>
    </row>
    <row r="40" spans="1:27" ht="13.5" thickTop="1" thickBot="1" x14ac:dyDescent="0.25">
      <c r="A40" s="45" t="s">
        <v>68</v>
      </c>
      <c r="B40" s="46" t="str">
        <f t="shared" si="0"/>
        <v>Yeisón Fernando García</v>
      </c>
      <c r="C40" s="46" t="str">
        <f t="shared" si="1"/>
        <v>Auxiliar Contable</v>
      </c>
      <c r="D40" s="47">
        <v>30</v>
      </c>
      <c r="E40" s="48">
        <f t="shared" si="2"/>
        <v>36666.666666666664</v>
      </c>
      <c r="F40" s="49">
        <f t="shared" si="5"/>
        <v>1100000</v>
      </c>
      <c r="G40" s="50">
        <f t="shared" si="6"/>
        <v>0</v>
      </c>
      <c r="H40" s="50">
        <f t="shared" si="7"/>
        <v>0</v>
      </c>
      <c r="I40" s="50">
        <f t="shared" si="8"/>
        <v>0</v>
      </c>
      <c r="J40" s="50">
        <f t="shared" si="9"/>
        <v>0</v>
      </c>
      <c r="K40" s="49">
        <f t="shared" si="10"/>
        <v>0</v>
      </c>
      <c r="L40" s="49">
        <f t="shared" si="11"/>
        <v>0</v>
      </c>
      <c r="M40" s="49">
        <f t="shared" si="12"/>
        <v>0</v>
      </c>
      <c r="N40" s="49">
        <f t="shared" si="13"/>
        <v>0</v>
      </c>
      <c r="O40" s="49">
        <f t="shared" si="14"/>
        <v>0</v>
      </c>
      <c r="P40" s="49">
        <f t="shared" si="15"/>
        <v>88200</v>
      </c>
      <c r="Q40" s="49">
        <f t="shared" si="3"/>
        <v>0</v>
      </c>
      <c r="R40" s="49">
        <f t="shared" si="24"/>
        <v>40000</v>
      </c>
      <c r="S40" s="49">
        <f t="shared" si="16"/>
        <v>1228200</v>
      </c>
      <c r="T40" s="49">
        <f t="shared" si="17"/>
        <v>1140000</v>
      </c>
      <c r="U40" s="49">
        <f t="shared" si="18"/>
        <v>45600</v>
      </c>
      <c r="V40" s="49">
        <f t="shared" si="19"/>
        <v>45600</v>
      </c>
      <c r="W40" s="49">
        <f t="shared" si="20"/>
        <v>0</v>
      </c>
      <c r="X40" s="49">
        <f t="shared" si="4"/>
        <v>110000</v>
      </c>
      <c r="Y40" s="49">
        <f t="shared" si="21"/>
        <v>22000</v>
      </c>
      <c r="Z40" s="49">
        <f t="shared" si="22"/>
        <v>223200</v>
      </c>
      <c r="AA40" s="51">
        <f t="shared" si="23"/>
        <v>1005000</v>
      </c>
    </row>
    <row r="41" spans="1:27" ht="13.5" thickTop="1" thickBot="1" x14ac:dyDescent="0.25">
      <c r="A41" s="45" t="s">
        <v>70</v>
      </c>
      <c r="B41" s="46" t="str">
        <f t="shared" si="0"/>
        <v>Yohiner Tangarife</v>
      </c>
      <c r="C41" s="46" t="str">
        <f t="shared" si="1"/>
        <v>Auxiliar Contable</v>
      </c>
      <c r="D41" s="47">
        <v>30</v>
      </c>
      <c r="E41" s="48">
        <f t="shared" si="2"/>
        <v>36666.666666666664</v>
      </c>
      <c r="F41" s="49">
        <f t="shared" si="5"/>
        <v>1100000</v>
      </c>
      <c r="G41" s="50">
        <f t="shared" si="6"/>
        <v>0</v>
      </c>
      <c r="H41" s="50">
        <f t="shared" si="7"/>
        <v>0</v>
      </c>
      <c r="I41" s="50">
        <f t="shared" si="8"/>
        <v>0</v>
      </c>
      <c r="J41" s="50">
        <f t="shared" si="9"/>
        <v>0</v>
      </c>
      <c r="K41" s="49">
        <f t="shared" si="10"/>
        <v>0</v>
      </c>
      <c r="L41" s="49">
        <f t="shared" si="11"/>
        <v>0</v>
      </c>
      <c r="M41" s="49">
        <f t="shared" si="12"/>
        <v>0</v>
      </c>
      <c r="N41" s="49">
        <f t="shared" si="13"/>
        <v>0</v>
      </c>
      <c r="O41" s="49">
        <f t="shared" si="14"/>
        <v>0</v>
      </c>
      <c r="P41" s="49">
        <f t="shared" si="15"/>
        <v>88200</v>
      </c>
      <c r="Q41" s="49">
        <f t="shared" si="3"/>
        <v>0</v>
      </c>
      <c r="R41" s="49">
        <f t="shared" si="24"/>
        <v>40000</v>
      </c>
      <c r="S41" s="49">
        <f t="shared" si="16"/>
        <v>1228200</v>
      </c>
      <c r="T41" s="49">
        <f t="shared" si="17"/>
        <v>1140000</v>
      </c>
      <c r="U41" s="49">
        <f t="shared" si="18"/>
        <v>45600</v>
      </c>
      <c r="V41" s="49">
        <f t="shared" si="19"/>
        <v>45600</v>
      </c>
      <c r="W41" s="49">
        <f t="shared" si="20"/>
        <v>0</v>
      </c>
      <c r="X41" s="49">
        <f t="shared" si="4"/>
        <v>110000</v>
      </c>
      <c r="Y41" s="49">
        <f t="shared" si="21"/>
        <v>22000</v>
      </c>
      <c r="Z41" s="49">
        <f t="shared" si="22"/>
        <v>223200</v>
      </c>
      <c r="AA41" s="51">
        <f t="shared" si="23"/>
        <v>1005000</v>
      </c>
    </row>
    <row r="42" spans="1:27" ht="13.5" thickTop="1" thickBot="1" x14ac:dyDescent="0.25">
      <c r="A42" s="53" t="s">
        <v>72</v>
      </c>
      <c r="B42" s="46" t="str">
        <f t="shared" si="0"/>
        <v>Yuliana Cardona</v>
      </c>
      <c r="C42" s="46" t="str">
        <f t="shared" si="1"/>
        <v>Digitadora</v>
      </c>
      <c r="D42" s="54">
        <v>30</v>
      </c>
      <c r="E42" s="48">
        <f t="shared" si="2"/>
        <v>30000</v>
      </c>
      <c r="F42" s="49">
        <f t="shared" si="5"/>
        <v>900000</v>
      </c>
      <c r="G42" s="50">
        <f t="shared" si="6"/>
        <v>0</v>
      </c>
      <c r="H42" s="50">
        <f t="shared" si="7"/>
        <v>0</v>
      </c>
      <c r="I42" s="50">
        <f t="shared" si="8"/>
        <v>0</v>
      </c>
      <c r="J42" s="50">
        <f t="shared" si="9"/>
        <v>0</v>
      </c>
      <c r="K42" s="49">
        <f t="shared" si="10"/>
        <v>0</v>
      </c>
      <c r="L42" s="49">
        <f t="shared" si="11"/>
        <v>0</v>
      </c>
      <c r="M42" s="49">
        <f t="shared" si="12"/>
        <v>0</v>
      </c>
      <c r="N42" s="49">
        <f t="shared" si="13"/>
        <v>0</v>
      </c>
      <c r="O42" s="49">
        <f t="shared" si="14"/>
        <v>0</v>
      </c>
      <c r="P42" s="49">
        <f t="shared" si="15"/>
        <v>88200</v>
      </c>
      <c r="Q42" s="49">
        <f t="shared" si="3"/>
        <v>0</v>
      </c>
      <c r="R42" s="49">
        <f t="shared" si="24"/>
        <v>40000</v>
      </c>
      <c r="S42" s="49">
        <f t="shared" si="16"/>
        <v>1028200</v>
      </c>
      <c r="T42" s="49">
        <f t="shared" si="17"/>
        <v>940000</v>
      </c>
      <c r="U42" s="49">
        <f t="shared" si="18"/>
        <v>37600</v>
      </c>
      <c r="V42" s="49">
        <f t="shared" si="19"/>
        <v>37600</v>
      </c>
      <c r="W42" s="49">
        <f t="shared" si="20"/>
        <v>0</v>
      </c>
      <c r="X42" s="49">
        <f t="shared" si="4"/>
        <v>63000.000000000007</v>
      </c>
      <c r="Y42" s="49">
        <f t="shared" si="21"/>
        <v>18000</v>
      </c>
      <c r="Z42" s="49">
        <f t="shared" si="22"/>
        <v>156200</v>
      </c>
      <c r="AA42" s="51">
        <f t="shared" si="23"/>
        <v>872000</v>
      </c>
    </row>
    <row r="43" spans="1:27" ht="13.5" thickTop="1" thickBot="1" x14ac:dyDescent="0.25">
      <c r="A43" s="55"/>
      <c r="B43" s="46" t="str">
        <f t="shared" si="0"/>
        <v/>
      </c>
      <c r="C43" s="56" t="str">
        <f>IF(A43="","",VLOOKUP(A43,'[1]BD EMPLEADOS'!A31:E63,3,FALSE))</f>
        <v/>
      </c>
      <c r="D43" s="57"/>
      <c r="E43" s="58" t="str">
        <f>+IF(A43="","",VLOOKUP(A43,'[1]BD EMPLEADOS'!A31:E63,5,FALSE))</f>
        <v/>
      </c>
      <c r="F43" s="58" t="str">
        <f>+IF(A43="","",E43*D43)</f>
        <v/>
      </c>
      <c r="G43" s="57" t="str">
        <f>+IF(C43="Operario",5,"")</f>
        <v/>
      </c>
      <c r="H43" s="50">
        <f t="shared" si="7"/>
        <v>0</v>
      </c>
      <c r="I43" s="57" t="str">
        <f>+IF(C43="Operario",2,"")</f>
        <v/>
      </c>
      <c r="J43" s="57" t="str">
        <f>+IF(C43="operario",1,"")</f>
        <v/>
      </c>
      <c r="K43" s="58" t="str">
        <f>+IF(C43="Operario",G43*(E43/8)*$U$47,"")</f>
        <v/>
      </c>
      <c r="L43" s="58" t="str">
        <f>+IF(C43="Operario",H43*(E43/8)*$U$48,"")</f>
        <v/>
      </c>
      <c r="M43" s="49">
        <v>0</v>
      </c>
      <c r="N43" s="58" t="str">
        <f>+IF(C43="Operario",J43*(E43/8)*$U$50,"")</f>
        <v/>
      </c>
      <c r="O43" s="58"/>
      <c r="P43" s="49">
        <f t="shared" ref="P43" si="25">IF(F43&lt;1562484,88211,IF(D43=30,88211,D43*2940))</f>
        <v>0</v>
      </c>
      <c r="Q43" s="49">
        <f t="shared" si="3"/>
        <v>0</v>
      </c>
      <c r="R43" s="49"/>
      <c r="S43" s="49"/>
      <c r="T43" s="59"/>
      <c r="U43" s="58"/>
      <c r="V43" s="58"/>
      <c r="W43" s="58"/>
      <c r="X43" s="58"/>
      <c r="Y43" s="58"/>
      <c r="Z43" s="58">
        <f>SUM(Z13:Z42)</f>
        <v>5830845.1460001189</v>
      </c>
      <c r="AA43" s="58">
        <f>SUM(AA13:AA42)</f>
        <v>33502581.554001376</v>
      </c>
    </row>
    <row r="44" spans="1:27" ht="16.5" customHeight="1" thickTop="1" thickBot="1" x14ac:dyDescent="0.25">
      <c r="A44" s="255" t="s">
        <v>122</v>
      </c>
      <c r="B44" s="256"/>
      <c r="C44" s="256"/>
      <c r="D44" s="256"/>
      <c r="E44" s="256"/>
      <c r="F44" s="256"/>
      <c r="G44" s="256"/>
      <c r="H44" s="257"/>
      <c r="I44" s="251" t="s">
        <v>123</v>
      </c>
      <c r="J44" s="253"/>
      <c r="K44" s="60" t="s">
        <v>124</v>
      </c>
      <c r="L44" s="60" t="s">
        <v>94</v>
      </c>
      <c r="M44" s="258" t="s">
        <v>125</v>
      </c>
      <c r="N44" s="259"/>
      <c r="O44" s="259"/>
      <c r="P44" s="259"/>
      <c r="Q44" s="259"/>
      <c r="R44" s="260"/>
      <c r="S44" s="12"/>
      <c r="T44" s="13"/>
      <c r="U44" s="15"/>
      <c r="V44" s="61" t="s">
        <v>126</v>
      </c>
      <c r="W44" s="13"/>
      <c r="X44" s="13"/>
      <c r="Y44" s="13"/>
      <c r="Z44" s="13"/>
      <c r="AA44" s="15"/>
    </row>
    <row r="45" spans="1:27" ht="13.5" thickTop="1" thickBot="1" x14ac:dyDescent="0.25">
      <c r="A45" s="264" t="s">
        <v>83</v>
      </c>
      <c r="B45" s="265"/>
      <c r="C45" s="265"/>
      <c r="D45" s="265"/>
      <c r="E45" s="266"/>
      <c r="F45" s="251" t="s">
        <v>85</v>
      </c>
      <c r="G45" s="252"/>
      <c r="H45" s="253"/>
      <c r="I45" s="270" t="s">
        <v>116</v>
      </c>
      <c r="J45" s="271"/>
      <c r="K45" s="62">
        <f>IF(SUMIF($F$13:$F$42,"&gt;7812420",$F$13:$F$42),((SUMIF($F$13:$F$42,"&gt;7812420",$F$13:$F$42)*70%)*8.5%),0)</f>
        <v>535500</v>
      </c>
      <c r="L45" s="63"/>
      <c r="M45" s="261"/>
      <c r="N45" s="262"/>
      <c r="O45" s="262"/>
      <c r="P45" s="262"/>
      <c r="Q45" s="262"/>
      <c r="R45" s="263"/>
      <c r="S45" s="29"/>
      <c r="T45" s="30"/>
      <c r="U45" s="32"/>
      <c r="V45" s="17"/>
      <c r="W45" s="18"/>
      <c r="X45" s="18"/>
      <c r="Y45" s="18"/>
      <c r="Z45" s="18"/>
      <c r="AA45" s="20"/>
    </row>
    <row r="46" spans="1:27" ht="13.5" thickTop="1" thickBot="1" x14ac:dyDescent="0.25">
      <c r="A46" s="267"/>
      <c r="B46" s="268"/>
      <c r="C46" s="268"/>
      <c r="D46" s="268"/>
      <c r="E46" s="269"/>
      <c r="F46" s="270" t="s">
        <v>116</v>
      </c>
      <c r="G46" s="271"/>
      <c r="H46" s="64">
        <f>SUM(U13:U42)</f>
        <v>1363721.06800006</v>
      </c>
      <c r="I46" s="270" t="s">
        <v>117</v>
      </c>
      <c r="J46" s="271"/>
      <c r="K46" s="62">
        <f>(E53-E49)*12%</f>
        <v>4416603.2040001797</v>
      </c>
      <c r="L46" s="63"/>
      <c r="M46" s="272" t="s">
        <v>127</v>
      </c>
      <c r="N46" s="273"/>
      <c r="O46" s="274">
        <v>781242</v>
      </c>
      <c r="P46" s="275"/>
      <c r="Q46" s="275"/>
      <c r="R46" s="276"/>
      <c r="S46" s="251" t="s">
        <v>128</v>
      </c>
      <c r="T46" s="252"/>
      <c r="U46" s="253"/>
      <c r="V46" s="17" t="s">
        <v>129</v>
      </c>
      <c r="W46" s="18"/>
      <c r="X46" s="18"/>
      <c r="Y46" s="18"/>
      <c r="Z46" s="18"/>
      <c r="AA46" s="20"/>
    </row>
    <row r="47" spans="1:27" ht="13.5" thickTop="1" thickBot="1" x14ac:dyDescent="0.25">
      <c r="A47" s="245" t="s">
        <v>130</v>
      </c>
      <c r="B47" s="246"/>
      <c r="C47" s="246"/>
      <c r="D47" s="247"/>
      <c r="E47" s="63">
        <f>SUM(F13:F42)</f>
        <v>35331178</v>
      </c>
      <c r="F47" s="248" t="s">
        <v>131</v>
      </c>
      <c r="G47" s="248"/>
      <c r="H47" s="64">
        <f>SUM(V13:V42)</f>
        <v>1363721.06800006</v>
      </c>
      <c r="I47" s="248" t="s">
        <v>132</v>
      </c>
      <c r="J47" s="248"/>
      <c r="K47" s="62">
        <f>E53*8.33%</f>
        <v>3276474.4441101248</v>
      </c>
      <c r="L47" s="63"/>
      <c r="M47" s="210" t="s">
        <v>133</v>
      </c>
      <c r="N47" s="210"/>
      <c r="O47" s="254">
        <v>88200</v>
      </c>
      <c r="P47" s="254"/>
      <c r="Q47" s="254"/>
      <c r="R47" s="254"/>
      <c r="S47" s="65" t="s">
        <v>134</v>
      </c>
      <c r="T47" s="65"/>
      <c r="U47" s="66">
        <v>1.25</v>
      </c>
      <c r="V47" s="17" t="s">
        <v>135</v>
      </c>
      <c r="W47" s="18"/>
      <c r="X47" s="18"/>
      <c r="Y47" s="18"/>
      <c r="Z47" s="18"/>
      <c r="AA47" s="20"/>
    </row>
    <row r="48" spans="1:27" ht="13.5" thickTop="1" thickBot="1" x14ac:dyDescent="0.25">
      <c r="A48" s="245" t="s">
        <v>110</v>
      </c>
      <c r="B48" s="246"/>
      <c r="C48" s="246"/>
      <c r="D48" s="247"/>
      <c r="E48" s="63">
        <f>SUM(O13:O43)</f>
        <v>533848.70000000007</v>
      </c>
      <c r="F48" s="248" t="s">
        <v>132</v>
      </c>
      <c r="G48" s="248"/>
      <c r="H48" s="64"/>
      <c r="I48" s="248" t="s">
        <v>136</v>
      </c>
      <c r="J48" s="248"/>
      <c r="K48" s="62">
        <f>E53*1%</f>
        <v>393334.26700001501</v>
      </c>
      <c r="L48" s="63"/>
      <c r="M48" s="210" t="s">
        <v>137</v>
      </c>
      <c r="N48" s="210"/>
      <c r="O48" s="249">
        <v>0.04</v>
      </c>
      <c r="P48" s="250"/>
      <c r="Q48" s="250"/>
      <c r="R48" s="250"/>
      <c r="S48" s="65" t="s">
        <v>138</v>
      </c>
      <c r="T48" s="65"/>
      <c r="U48" s="66">
        <v>1.75</v>
      </c>
      <c r="V48" s="17"/>
      <c r="W48" s="18"/>
      <c r="X48" s="18"/>
      <c r="Y48" s="18"/>
      <c r="Z48" s="18"/>
      <c r="AA48" s="20"/>
    </row>
    <row r="49" spans="1:27" ht="13.5" thickTop="1" thickBot="1" x14ac:dyDescent="0.25">
      <c r="A49" s="245" t="s">
        <v>111</v>
      </c>
      <c r="B49" s="246"/>
      <c r="C49" s="246"/>
      <c r="D49" s="247"/>
      <c r="E49" s="63">
        <f>SUM(P13:P42)</f>
        <v>2528400</v>
      </c>
      <c r="F49" s="248" t="s">
        <v>118</v>
      </c>
      <c r="G49" s="248"/>
      <c r="H49" s="64">
        <f>SUM(W13:W43)</f>
        <v>63000</v>
      </c>
      <c r="I49" s="248" t="s">
        <v>139</v>
      </c>
      <c r="J49" s="248"/>
      <c r="K49" s="62">
        <f>E53*8.33%</f>
        <v>3276474.4441101248</v>
      </c>
      <c r="L49" s="63"/>
      <c r="M49" s="210" t="s">
        <v>140</v>
      </c>
      <c r="N49" s="210"/>
      <c r="O49" s="249">
        <v>0.04</v>
      </c>
      <c r="P49" s="249"/>
      <c r="Q49" s="249"/>
      <c r="R49" s="249"/>
      <c r="S49" s="65" t="s">
        <v>141</v>
      </c>
      <c r="T49" s="65"/>
      <c r="U49" s="66">
        <v>2.25</v>
      </c>
      <c r="V49" s="17"/>
      <c r="W49" s="18"/>
      <c r="X49" s="18"/>
      <c r="Y49" s="18"/>
      <c r="Z49" s="18"/>
      <c r="AA49" s="20"/>
    </row>
    <row r="50" spans="1:27" ht="13.5" thickTop="1" thickBot="1" x14ac:dyDescent="0.25">
      <c r="A50" s="245" t="s">
        <v>112</v>
      </c>
      <c r="B50" s="246"/>
      <c r="C50" s="246"/>
      <c r="D50" s="247"/>
      <c r="E50" s="63">
        <f>SUM(Q13:Q42)</f>
        <v>299999.99999999994</v>
      </c>
      <c r="F50" s="248" t="s">
        <v>119</v>
      </c>
      <c r="G50" s="248"/>
      <c r="H50" s="64">
        <f>SUM(X13:X42)</f>
        <v>2493247.1200000006</v>
      </c>
      <c r="I50" s="248" t="s">
        <v>142</v>
      </c>
      <c r="J50" s="248"/>
      <c r="K50" s="62">
        <f>(E53-E49)*4.17%</f>
        <v>1534769.6133900627</v>
      </c>
      <c r="L50" s="63"/>
      <c r="M50" s="210" t="s">
        <v>143</v>
      </c>
      <c r="N50" s="210"/>
      <c r="O50" s="67">
        <v>0.01</v>
      </c>
      <c r="P50" s="68"/>
      <c r="Q50" s="69"/>
      <c r="R50" s="69"/>
      <c r="S50" s="65" t="s">
        <v>144</v>
      </c>
      <c r="T50" s="65"/>
      <c r="U50" s="66">
        <v>2.75</v>
      </c>
      <c r="V50" s="17"/>
      <c r="W50" s="18"/>
      <c r="X50" s="18"/>
      <c r="Y50" s="18"/>
      <c r="Z50" s="18"/>
      <c r="AA50" s="20"/>
    </row>
    <row r="51" spans="1:27" ht="13.5" thickTop="1" thickBot="1" x14ac:dyDescent="0.25">
      <c r="A51" s="70"/>
      <c r="B51" s="71"/>
      <c r="C51" s="71"/>
      <c r="D51" s="72"/>
      <c r="E51" s="63"/>
      <c r="F51" s="73"/>
      <c r="G51" s="74"/>
      <c r="H51" s="64"/>
      <c r="I51" s="248" t="s">
        <v>145</v>
      </c>
      <c r="J51" s="248"/>
      <c r="K51" s="62">
        <f>$F$25*70%*2%</f>
        <v>126000</v>
      </c>
      <c r="L51" s="63"/>
      <c r="M51" s="73"/>
      <c r="N51" s="73"/>
      <c r="O51" s="67"/>
      <c r="P51" s="68"/>
      <c r="Q51" s="69"/>
      <c r="R51" s="69"/>
      <c r="S51" s="75"/>
      <c r="T51" s="76"/>
      <c r="U51" s="77"/>
      <c r="V51" s="17"/>
      <c r="W51" s="18"/>
      <c r="X51" s="18"/>
      <c r="Y51" s="18"/>
      <c r="Z51" s="18"/>
      <c r="AA51" s="20"/>
    </row>
    <row r="52" spans="1:27" ht="13.5" thickTop="1" thickBot="1" x14ac:dyDescent="0.25">
      <c r="A52" s="245" t="s">
        <v>113</v>
      </c>
      <c r="B52" s="246"/>
      <c r="C52" s="246"/>
      <c r="D52" s="247"/>
      <c r="E52" s="63">
        <f>SUM(R13:R43)</f>
        <v>640000.00000150001</v>
      </c>
      <c r="F52" s="248" t="s">
        <v>120</v>
      </c>
      <c r="G52" s="248"/>
      <c r="H52" s="64">
        <f>SUM(Y13:Y42)</f>
        <v>547155.89000000013</v>
      </c>
      <c r="I52" s="248" t="s">
        <v>146</v>
      </c>
      <c r="J52" s="248"/>
      <c r="K52" s="62">
        <f>$F$25*70%*3%</f>
        <v>189000</v>
      </c>
      <c r="L52" s="63"/>
      <c r="M52" s="210" t="s">
        <v>147</v>
      </c>
      <c r="N52" s="210"/>
      <c r="O52" s="68">
        <v>200000000</v>
      </c>
      <c r="P52" s="68"/>
      <c r="Q52" s="68"/>
      <c r="R52" s="68"/>
      <c r="S52" s="12"/>
      <c r="T52" s="13"/>
      <c r="U52" s="15"/>
      <c r="V52" s="17"/>
      <c r="W52" s="18"/>
      <c r="X52" s="18"/>
      <c r="Y52" s="18"/>
      <c r="Z52" s="18"/>
      <c r="AA52" s="20"/>
    </row>
    <row r="53" spans="1:27" ht="13.5" thickTop="1" thickBot="1" x14ac:dyDescent="0.25">
      <c r="A53" s="230" t="s">
        <v>148</v>
      </c>
      <c r="B53" s="231"/>
      <c r="C53" s="231"/>
      <c r="D53" s="232"/>
      <c r="E53" s="236">
        <f>SUM(E47:E52)</f>
        <v>39333426.700001501</v>
      </c>
      <c r="F53" s="238" t="s">
        <v>149</v>
      </c>
      <c r="G53" s="222"/>
      <c r="H53" s="239">
        <f>SUM(H46:H52)</f>
        <v>5830845.1460001208</v>
      </c>
      <c r="I53" s="238" t="s">
        <v>150</v>
      </c>
      <c r="J53" s="222"/>
      <c r="K53" s="241">
        <f>SUM(K45:K52)</f>
        <v>13748155.972610507</v>
      </c>
      <c r="L53" s="242"/>
      <c r="M53" s="210" t="s">
        <v>151</v>
      </c>
      <c r="N53" s="210"/>
      <c r="O53" s="213">
        <v>2.9999999999999997E-4</v>
      </c>
      <c r="P53" s="213"/>
      <c r="Q53" s="213"/>
      <c r="R53" s="213"/>
      <c r="S53" s="17"/>
      <c r="T53" s="18"/>
      <c r="U53" s="20"/>
      <c r="V53" s="17"/>
      <c r="W53" s="18"/>
      <c r="X53" s="18"/>
      <c r="Y53" s="18"/>
      <c r="Z53" s="18"/>
      <c r="AA53" s="20"/>
    </row>
    <row r="54" spans="1:27" ht="13.5" thickTop="1" thickBot="1" x14ac:dyDescent="0.25">
      <c r="A54" s="233"/>
      <c r="B54" s="234"/>
      <c r="C54" s="234"/>
      <c r="D54" s="235"/>
      <c r="E54" s="237"/>
      <c r="F54" s="223"/>
      <c r="G54" s="225"/>
      <c r="H54" s="240"/>
      <c r="I54" s="223"/>
      <c r="J54" s="225"/>
      <c r="K54" s="243"/>
      <c r="L54" s="244"/>
      <c r="M54" s="210" t="s">
        <v>152</v>
      </c>
      <c r="N54" s="210"/>
      <c r="O54" s="78">
        <v>0.05</v>
      </c>
      <c r="P54" s="62">
        <v>0.1</v>
      </c>
      <c r="Q54" s="78">
        <v>7.0000000000000007E-2</v>
      </c>
      <c r="R54" s="78">
        <v>0.04</v>
      </c>
      <c r="S54" s="17"/>
      <c r="T54" s="18"/>
      <c r="U54" s="20"/>
      <c r="V54" s="17"/>
      <c r="W54" s="18"/>
      <c r="X54" s="18"/>
      <c r="Y54" s="18"/>
      <c r="Z54" s="18"/>
      <c r="AA54" s="20"/>
    </row>
    <row r="55" spans="1:27" ht="13.5" thickTop="1" thickBot="1" x14ac:dyDescent="0.25">
      <c r="A55" s="214" t="s">
        <v>153</v>
      </c>
      <c r="B55" s="215"/>
      <c r="C55" s="215"/>
      <c r="D55" s="215"/>
      <c r="E55" s="216"/>
      <c r="F55" s="220">
        <f>AA43</f>
        <v>33502581.554001376</v>
      </c>
      <c r="G55" s="221"/>
      <c r="H55" s="222"/>
      <c r="I55" s="226" t="s">
        <v>154</v>
      </c>
      <c r="J55" s="227"/>
      <c r="K55" s="228" t="s">
        <v>155</v>
      </c>
      <c r="L55" s="229"/>
      <c r="M55" s="210" t="s">
        <v>156</v>
      </c>
      <c r="N55" s="210"/>
      <c r="O55" s="79">
        <v>5.0000000000000001E-3</v>
      </c>
      <c r="P55" s="62">
        <v>0.02</v>
      </c>
      <c r="Q55" s="80"/>
      <c r="R55" s="80"/>
      <c r="S55" s="17"/>
      <c r="T55" s="18"/>
      <c r="U55" s="20"/>
      <c r="V55" s="17"/>
      <c r="W55" s="18"/>
      <c r="X55" s="18"/>
      <c r="Y55" s="18"/>
      <c r="Z55" s="18"/>
      <c r="AA55" s="20"/>
    </row>
    <row r="56" spans="1:27" ht="13.5" thickTop="1" thickBot="1" x14ac:dyDescent="0.25">
      <c r="A56" s="217"/>
      <c r="B56" s="218"/>
      <c r="C56" s="218"/>
      <c r="D56" s="218"/>
      <c r="E56" s="219"/>
      <c r="F56" s="223"/>
      <c r="G56" s="224"/>
      <c r="H56" s="225"/>
      <c r="I56" s="226" t="s">
        <v>157</v>
      </c>
      <c r="J56" s="227"/>
      <c r="K56" s="228" t="s">
        <v>158</v>
      </c>
      <c r="L56" s="229"/>
      <c r="M56" s="210" t="s">
        <v>159</v>
      </c>
      <c r="N56" s="210"/>
      <c r="O56" s="211">
        <v>2.0000000000000001E-4</v>
      </c>
      <c r="P56" s="212"/>
      <c r="Q56" s="211">
        <v>2.9999999999999997E-4</v>
      </c>
      <c r="R56" s="212"/>
      <c r="S56" s="29"/>
      <c r="T56" s="30"/>
      <c r="U56" s="32"/>
      <c r="V56" s="29"/>
      <c r="W56" s="30"/>
      <c r="X56" s="30"/>
      <c r="Y56" s="30"/>
      <c r="Z56" s="30"/>
      <c r="AA56" s="32"/>
    </row>
    <row r="57" spans="1:27" ht="12.75" thickTop="1" x14ac:dyDescent="0.2"/>
  </sheetData>
  <mergeCells count="64">
    <mergeCell ref="A4:Z4"/>
    <mergeCell ref="A6:N6"/>
    <mergeCell ref="O6:Z6"/>
    <mergeCell ref="G10:R10"/>
    <mergeCell ref="S10:S11"/>
    <mergeCell ref="T10:T11"/>
    <mergeCell ref="U10:Y10"/>
    <mergeCell ref="G11:J11"/>
    <mergeCell ref="K11:N11"/>
    <mergeCell ref="U11:W11"/>
    <mergeCell ref="A44:H44"/>
    <mergeCell ref="I44:J44"/>
    <mergeCell ref="M44:R45"/>
    <mergeCell ref="A45:E46"/>
    <mergeCell ref="F45:H45"/>
    <mergeCell ref="I45:J45"/>
    <mergeCell ref="F46:G46"/>
    <mergeCell ref="I46:J46"/>
    <mergeCell ref="M46:N46"/>
    <mergeCell ref="O46:R46"/>
    <mergeCell ref="S46:U46"/>
    <mergeCell ref="A47:D47"/>
    <mergeCell ref="F47:G47"/>
    <mergeCell ref="I47:J47"/>
    <mergeCell ref="M47:N47"/>
    <mergeCell ref="O47:R47"/>
    <mergeCell ref="A49:D49"/>
    <mergeCell ref="F49:G49"/>
    <mergeCell ref="I49:J49"/>
    <mergeCell ref="M49:N49"/>
    <mergeCell ref="O49:R49"/>
    <mergeCell ref="A48:D48"/>
    <mergeCell ref="F48:G48"/>
    <mergeCell ref="I48:J48"/>
    <mergeCell ref="M48:N48"/>
    <mergeCell ref="O48:R48"/>
    <mergeCell ref="K53:L54"/>
    <mergeCell ref="A50:D50"/>
    <mergeCell ref="F50:G50"/>
    <mergeCell ref="I50:J50"/>
    <mergeCell ref="M50:N50"/>
    <mergeCell ref="I51:J51"/>
    <mergeCell ref="A52:D52"/>
    <mergeCell ref="F52:G52"/>
    <mergeCell ref="I52:J52"/>
    <mergeCell ref="M52:N52"/>
    <mergeCell ref="A53:D54"/>
    <mergeCell ref="E53:E54"/>
    <mergeCell ref="F53:G54"/>
    <mergeCell ref="H53:H54"/>
    <mergeCell ref="I53:J54"/>
    <mergeCell ref="A55:E56"/>
    <mergeCell ref="F55:H56"/>
    <mergeCell ref="I55:J55"/>
    <mergeCell ref="K55:L55"/>
    <mergeCell ref="M55:N55"/>
    <mergeCell ref="I56:J56"/>
    <mergeCell ref="K56:L56"/>
    <mergeCell ref="M56:N56"/>
    <mergeCell ref="O56:P56"/>
    <mergeCell ref="Q56:R56"/>
    <mergeCell ref="M53:N53"/>
    <mergeCell ref="O53:R53"/>
    <mergeCell ref="M54:N54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C23CA-29AE-42DD-B96C-B097E4676B19}">
  <dimension ref="A1:G615"/>
  <sheetViews>
    <sheetView topLeftCell="A16" workbookViewId="0">
      <selection activeCell="C21" sqref="C21"/>
    </sheetView>
  </sheetViews>
  <sheetFormatPr baseColWidth="10" defaultRowHeight="11.25" x14ac:dyDescent="0.2"/>
  <cols>
    <col min="1" max="1" width="31.28515625" style="104" customWidth="1"/>
    <col min="2" max="2" width="17.28515625" style="104" customWidth="1"/>
    <col min="3" max="3" width="21.42578125" style="104" customWidth="1"/>
    <col min="4" max="4" width="13.85546875" style="104" customWidth="1"/>
    <col min="5" max="5" width="11.42578125" style="104"/>
    <col min="6" max="6" width="11.42578125" style="84"/>
    <col min="7" max="16384" width="11.42578125" style="85"/>
  </cols>
  <sheetData>
    <row r="1" spans="1:5" x14ac:dyDescent="0.2">
      <c r="A1" s="308"/>
      <c r="B1" s="309"/>
      <c r="C1" s="309"/>
      <c r="D1" s="309"/>
      <c r="E1" s="310"/>
    </row>
    <row r="2" spans="1:5" x14ac:dyDescent="0.2">
      <c r="A2" s="311" t="s">
        <v>160</v>
      </c>
      <c r="B2" s="312"/>
      <c r="C2" s="312"/>
      <c r="D2" s="312"/>
      <c r="E2" s="313"/>
    </row>
    <row r="3" spans="1:5" x14ac:dyDescent="0.2">
      <c r="A3" s="314" t="s">
        <v>161</v>
      </c>
      <c r="B3" s="315"/>
      <c r="C3" s="315"/>
      <c r="D3" s="315"/>
      <c r="E3" s="316"/>
    </row>
    <row r="4" spans="1:5" x14ac:dyDescent="0.2">
      <c r="A4" s="311" t="s">
        <v>162</v>
      </c>
      <c r="B4" s="312"/>
      <c r="C4" s="312"/>
      <c r="D4" s="312"/>
      <c r="E4" s="313"/>
    </row>
    <row r="5" spans="1:5" ht="12" thickBot="1" x14ac:dyDescent="0.25">
      <c r="A5" s="293"/>
      <c r="B5" s="294"/>
      <c r="C5" s="294"/>
      <c r="D5" s="294"/>
      <c r="E5" s="295"/>
    </row>
    <row r="6" spans="1:5" ht="12" thickBot="1" x14ac:dyDescent="0.25">
      <c r="A6" s="86" t="s">
        <v>163</v>
      </c>
      <c r="B6" s="296" t="s">
        <v>5</v>
      </c>
      <c r="C6" s="297"/>
      <c r="D6" s="297"/>
      <c r="E6" s="298"/>
    </row>
    <row r="7" spans="1:5" ht="12" thickBot="1" x14ac:dyDescent="0.25">
      <c r="A7" s="87" t="s">
        <v>164</v>
      </c>
      <c r="B7" s="299" t="str">
        <f>IF(ISBLANK(B6:E6),"",IF(ISERROR(VLOOKUP(B6:E6,BNOMINA,2,FALSE)),"EL DATO NO EXISTE",VLOOKUP(B6:E6,BNOMINA,2,FALSE)))</f>
        <v>Ospina Borja Pedro Nel</v>
      </c>
      <c r="C7" s="300"/>
      <c r="D7" s="300"/>
      <c r="E7" s="301"/>
    </row>
    <row r="8" spans="1:5" ht="12" thickBot="1" x14ac:dyDescent="0.25">
      <c r="A8" s="302"/>
      <c r="B8" s="303"/>
      <c r="C8" s="303"/>
      <c r="D8" s="303"/>
      <c r="E8" s="88"/>
    </row>
    <row r="9" spans="1:5" ht="12" thickBot="1" x14ac:dyDescent="0.25">
      <c r="A9" s="89" t="s">
        <v>165</v>
      </c>
      <c r="B9" s="90">
        <f>VLOOKUP(B6,BNOMINA,6,FALSE)</f>
        <v>900000</v>
      </c>
      <c r="C9" s="91" t="s">
        <v>166</v>
      </c>
      <c r="D9" s="92">
        <f>VLOOKUP(B6,BNOMINA,21,FALSE)</f>
        <v>37600</v>
      </c>
      <c r="E9" s="93"/>
    </row>
    <row r="10" spans="1:5" ht="12" thickBot="1" x14ac:dyDescent="0.25">
      <c r="A10" s="94" t="s">
        <v>167</v>
      </c>
      <c r="B10" s="90">
        <f>VLOOKUP(B6,BNOMINA,15,FALSE)</f>
        <v>0</v>
      </c>
      <c r="C10" s="95" t="s">
        <v>168</v>
      </c>
      <c r="D10" s="92">
        <f>VLOOKUP(B6,BNOMINA,22,FALSE)</f>
        <v>37600</v>
      </c>
      <c r="E10" s="93"/>
    </row>
    <row r="11" spans="1:5" ht="12" thickBot="1" x14ac:dyDescent="0.25">
      <c r="A11" s="96" t="s">
        <v>169</v>
      </c>
      <c r="B11" s="90">
        <f>VLOOKUP(B6,BNOMINA,16,FALSE)</f>
        <v>88200</v>
      </c>
      <c r="C11" s="95" t="s">
        <v>170</v>
      </c>
      <c r="D11" s="92">
        <f>VLOOKUP(B6,BNOMINA,23,FALSE)</f>
        <v>0</v>
      </c>
      <c r="E11" s="93"/>
    </row>
    <row r="12" spans="1:5" ht="12" thickBot="1" x14ac:dyDescent="0.25">
      <c r="A12" s="94" t="s">
        <v>171</v>
      </c>
      <c r="B12" s="90">
        <f>VLOOKUP(B6,BNOMINA,17,FALSE)</f>
        <v>0</v>
      </c>
      <c r="C12" s="95" t="s">
        <v>172</v>
      </c>
      <c r="D12" s="92">
        <f>VLOOKUP(B6,BNOMINA,24,FALSE)</f>
        <v>63000.000000000007</v>
      </c>
      <c r="E12" s="93"/>
    </row>
    <row r="13" spans="1:5" ht="12" thickBot="1" x14ac:dyDescent="0.25">
      <c r="A13" s="94" t="s">
        <v>173</v>
      </c>
      <c r="B13" s="90">
        <f>VLOOKUP(B6,BNOMINA,18,FALSE)</f>
        <v>40000</v>
      </c>
      <c r="C13" s="87" t="s">
        <v>174</v>
      </c>
      <c r="D13" s="92">
        <f>VLOOKUP(B6,BNOMINA,25,FALSE)</f>
        <v>18000</v>
      </c>
      <c r="E13" s="93"/>
    </row>
    <row r="14" spans="1:5" ht="12" thickBot="1" x14ac:dyDescent="0.25">
      <c r="A14" s="97"/>
      <c r="B14" s="98"/>
      <c r="C14" s="99"/>
      <c r="D14" s="99"/>
      <c r="E14" s="88"/>
    </row>
    <row r="15" spans="1:5" ht="12" thickBot="1" x14ac:dyDescent="0.25">
      <c r="A15" s="86" t="s">
        <v>175</v>
      </c>
      <c r="B15" s="90">
        <f>SUM(B9:B14)</f>
        <v>1028200</v>
      </c>
      <c r="C15" s="100" t="s">
        <v>176</v>
      </c>
      <c r="D15" s="304">
        <f>SUM(D9:D14)</f>
        <v>156200</v>
      </c>
      <c r="E15" s="305"/>
    </row>
    <row r="16" spans="1:5" x14ac:dyDescent="0.2">
      <c r="A16" s="97"/>
      <c r="B16" s="98"/>
      <c r="C16" s="98"/>
      <c r="D16" s="98"/>
      <c r="E16" s="88"/>
    </row>
    <row r="17" spans="1:5" ht="12" thickBot="1" x14ac:dyDescent="0.25">
      <c r="A17" s="101"/>
      <c r="B17" s="102"/>
      <c r="C17" s="102"/>
      <c r="D17" s="102"/>
      <c r="E17" s="103"/>
    </row>
    <row r="18" spans="1:5" ht="12" thickBot="1" x14ac:dyDescent="0.25">
      <c r="B18" s="105"/>
      <c r="C18" s="94" t="s">
        <v>177</v>
      </c>
      <c r="D18" s="306">
        <f>B15-D15</f>
        <v>872000</v>
      </c>
      <c r="E18" s="307"/>
    </row>
    <row r="19" spans="1:5" x14ac:dyDescent="0.2">
      <c r="B19" s="105"/>
    </row>
    <row r="20" spans="1:5" x14ac:dyDescent="0.2">
      <c r="B20" s="105"/>
    </row>
    <row r="21" spans="1:5" x14ac:dyDescent="0.2">
      <c r="B21" s="105"/>
    </row>
    <row r="22" spans="1:5" ht="12" thickBot="1" x14ac:dyDescent="0.25"/>
    <row r="23" spans="1:5" x14ac:dyDescent="0.2">
      <c r="A23" s="308"/>
      <c r="B23" s="309"/>
      <c r="C23" s="309"/>
      <c r="D23" s="309"/>
      <c r="E23" s="310"/>
    </row>
    <row r="24" spans="1:5" x14ac:dyDescent="0.2">
      <c r="A24" s="311" t="s">
        <v>160</v>
      </c>
      <c r="B24" s="312"/>
      <c r="C24" s="312"/>
      <c r="D24" s="312"/>
      <c r="E24" s="313"/>
    </row>
    <row r="25" spans="1:5" x14ac:dyDescent="0.2">
      <c r="A25" s="314" t="s">
        <v>161</v>
      </c>
      <c r="B25" s="315"/>
      <c r="C25" s="315"/>
      <c r="D25" s="315"/>
      <c r="E25" s="316"/>
    </row>
    <row r="26" spans="1:5" x14ac:dyDescent="0.2">
      <c r="A26" s="311" t="s">
        <v>162</v>
      </c>
      <c r="B26" s="312"/>
      <c r="C26" s="312"/>
      <c r="D26" s="312"/>
      <c r="E26" s="313"/>
    </row>
    <row r="27" spans="1:5" ht="12" thickBot="1" x14ac:dyDescent="0.25">
      <c r="A27" s="293"/>
      <c r="B27" s="294"/>
      <c r="C27" s="294"/>
      <c r="D27" s="294"/>
      <c r="E27" s="295"/>
    </row>
    <row r="28" spans="1:5" ht="12" thickBot="1" x14ac:dyDescent="0.25">
      <c r="A28" s="86" t="s">
        <v>163</v>
      </c>
      <c r="B28" s="296" t="s">
        <v>8</v>
      </c>
      <c r="C28" s="297"/>
      <c r="D28" s="297"/>
      <c r="E28" s="298"/>
    </row>
    <row r="29" spans="1:5" ht="12" thickBot="1" x14ac:dyDescent="0.25">
      <c r="A29" s="87" t="s">
        <v>164</v>
      </c>
      <c r="B29" s="299" t="str">
        <f>IF(ISBLANK(B28:E28),"",IF(ISERROR(VLOOKUP(B28:E28,BNOMINA,2,FALSE)),"EL DATO NO EXISTE",VLOOKUP(B28:E28,BNOMINA,2,FALSE)))</f>
        <v>Andrés Felipe Ramírez</v>
      </c>
      <c r="C29" s="300"/>
      <c r="D29" s="300"/>
      <c r="E29" s="301"/>
    </row>
    <row r="30" spans="1:5" ht="12" thickBot="1" x14ac:dyDescent="0.25">
      <c r="A30" s="302"/>
      <c r="B30" s="303"/>
      <c r="C30" s="303"/>
      <c r="D30" s="303"/>
      <c r="E30" s="88"/>
    </row>
    <row r="31" spans="1:5" ht="12" thickBot="1" x14ac:dyDescent="0.25">
      <c r="A31" s="89" t="s">
        <v>165</v>
      </c>
      <c r="B31" s="90">
        <f>VLOOKUP(B28,BNOMINA,6,FALSE)</f>
        <v>850000</v>
      </c>
      <c r="C31" s="91" t="s">
        <v>166</v>
      </c>
      <c r="D31" s="92">
        <f>VLOOKUP(B28,BNOMINA,21,FALSE)</f>
        <v>36400</v>
      </c>
      <c r="E31" s="93"/>
    </row>
    <row r="32" spans="1:5" ht="12" thickBot="1" x14ac:dyDescent="0.25">
      <c r="A32" s="94" t="s">
        <v>167</v>
      </c>
      <c r="B32" s="90">
        <f>VLOOKUP(B28,BNOMINA,15,FALSE)</f>
        <v>0</v>
      </c>
      <c r="C32" s="95" t="s">
        <v>168</v>
      </c>
      <c r="D32" s="92">
        <f>VLOOKUP(B28,BNOMINA,22,FALSE)</f>
        <v>36400</v>
      </c>
      <c r="E32" s="93"/>
    </row>
    <row r="33" spans="1:5" ht="12" thickBot="1" x14ac:dyDescent="0.25">
      <c r="A33" s="96" t="s">
        <v>169</v>
      </c>
      <c r="B33" s="90">
        <f>VLOOKUP(B28,BNOMINA,16,FALSE)</f>
        <v>88200</v>
      </c>
      <c r="C33" s="95" t="s">
        <v>170</v>
      </c>
      <c r="D33" s="92">
        <f>VLOOKUP(B28,BNOMINA,23,FALSE)</f>
        <v>0</v>
      </c>
      <c r="E33" s="93"/>
    </row>
    <row r="34" spans="1:5" ht="12" thickBot="1" x14ac:dyDescent="0.25">
      <c r="A34" s="94" t="s">
        <v>171</v>
      </c>
      <c r="B34" s="90">
        <f>VLOOKUP(B28,BNOMINA,17,FALSE)</f>
        <v>59999.999999999993</v>
      </c>
      <c r="C34" s="95" t="s">
        <v>172</v>
      </c>
      <c r="D34" s="92">
        <f>VLOOKUP(B28,BNOMINA,24,FALSE)</f>
        <v>59500.000000000007</v>
      </c>
      <c r="E34" s="93"/>
    </row>
    <row r="35" spans="1:5" ht="12" thickBot="1" x14ac:dyDescent="0.25">
      <c r="A35" s="94" t="s">
        <v>173</v>
      </c>
      <c r="B35" s="90">
        <f>VLOOKUP(B28,BNOMINA,18,FALSE)</f>
        <v>0</v>
      </c>
      <c r="C35" s="87" t="s">
        <v>174</v>
      </c>
      <c r="D35" s="92">
        <f>VLOOKUP(B28,BNOMINA,25,FALSE)</f>
        <v>17000</v>
      </c>
      <c r="E35" s="93"/>
    </row>
    <row r="36" spans="1:5" ht="12" thickBot="1" x14ac:dyDescent="0.25">
      <c r="A36" s="97"/>
      <c r="B36" s="98"/>
      <c r="C36" s="99"/>
      <c r="D36" s="99"/>
      <c r="E36" s="88"/>
    </row>
    <row r="37" spans="1:5" ht="12" thickBot="1" x14ac:dyDescent="0.25">
      <c r="A37" s="86" t="s">
        <v>175</v>
      </c>
      <c r="B37" s="90">
        <f>SUM(B31:B36)</f>
        <v>998200</v>
      </c>
      <c r="C37" s="100" t="s">
        <v>176</v>
      </c>
      <c r="D37" s="304">
        <f>SUM(D31:D36)</f>
        <v>149300</v>
      </c>
      <c r="E37" s="305"/>
    </row>
    <row r="38" spans="1:5" x14ac:dyDescent="0.2">
      <c r="A38" s="97"/>
      <c r="B38" s="98"/>
      <c r="C38" s="98"/>
      <c r="D38" s="98"/>
      <c r="E38" s="88"/>
    </row>
    <row r="39" spans="1:5" ht="12" thickBot="1" x14ac:dyDescent="0.25">
      <c r="A39" s="101"/>
      <c r="B39" s="102"/>
      <c r="C39" s="102"/>
      <c r="D39" s="102"/>
      <c r="E39" s="103"/>
    </row>
    <row r="40" spans="1:5" ht="12" thickBot="1" x14ac:dyDescent="0.25">
      <c r="B40" s="105"/>
      <c r="C40" s="94" t="s">
        <v>177</v>
      </c>
      <c r="D40" s="306">
        <f>B37-D37</f>
        <v>848900</v>
      </c>
      <c r="E40" s="307"/>
    </row>
    <row r="41" spans="1:5" x14ac:dyDescent="0.2">
      <c r="B41" s="105"/>
    </row>
    <row r="43" spans="1:5" ht="12" thickBot="1" x14ac:dyDescent="0.25"/>
    <row r="44" spans="1:5" x14ac:dyDescent="0.2">
      <c r="A44" s="308"/>
      <c r="B44" s="309"/>
      <c r="C44" s="309"/>
      <c r="D44" s="309"/>
      <c r="E44" s="310"/>
    </row>
    <row r="45" spans="1:5" x14ac:dyDescent="0.2">
      <c r="A45" s="311" t="s">
        <v>160</v>
      </c>
      <c r="B45" s="312"/>
      <c r="C45" s="312"/>
      <c r="D45" s="312"/>
      <c r="E45" s="313"/>
    </row>
    <row r="46" spans="1:5" x14ac:dyDescent="0.2">
      <c r="A46" s="314" t="s">
        <v>161</v>
      </c>
      <c r="B46" s="315"/>
      <c r="C46" s="315"/>
      <c r="D46" s="315"/>
      <c r="E46" s="316"/>
    </row>
    <row r="47" spans="1:5" x14ac:dyDescent="0.2">
      <c r="A47" s="311" t="s">
        <v>162</v>
      </c>
      <c r="B47" s="312"/>
      <c r="C47" s="312"/>
      <c r="D47" s="312"/>
      <c r="E47" s="313"/>
    </row>
    <row r="48" spans="1:5" ht="12" thickBot="1" x14ac:dyDescent="0.25">
      <c r="A48" s="293"/>
      <c r="B48" s="294"/>
      <c r="C48" s="294"/>
      <c r="D48" s="294"/>
      <c r="E48" s="295"/>
    </row>
    <row r="49" spans="1:5" ht="12" thickBot="1" x14ac:dyDescent="0.25">
      <c r="A49" s="86" t="s">
        <v>163</v>
      </c>
      <c r="B49" s="296" t="s">
        <v>11</v>
      </c>
      <c r="C49" s="297"/>
      <c r="D49" s="297"/>
      <c r="E49" s="298"/>
    </row>
    <row r="50" spans="1:5" ht="12" thickBot="1" x14ac:dyDescent="0.25">
      <c r="A50" s="87" t="s">
        <v>164</v>
      </c>
      <c r="B50" s="299" t="str">
        <f>IF(ISBLANK(B49:E49),"",IF(ISERROR(VLOOKUP(B49:E49,BNOMINA,2,FALSE)),"EL DATO NO EXISTE",VLOOKUP(B49:E49,BNOMINA,2,FALSE)))</f>
        <v>Ángela María Hernández</v>
      </c>
      <c r="C50" s="300"/>
      <c r="D50" s="300"/>
      <c r="E50" s="301"/>
    </row>
    <row r="51" spans="1:5" ht="12" thickBot="1" x14ac:dyDescent="0.25">
      <c r="A51" s="302"/>
      <c r="B51" s="303"/>
      <c r="C51" s="303"/>
      <c r="D51" s="303"/>
      <c r="E51" s="88"/>
    </row>
    <row r="52" spans="1:5" ht="12" thickBot="1" x14ac:dyDescent="0.25">
      <c r="A52" s="89" t="s">
        <v>165</v>
      </c>
      <c r="B52" s="90">
        <f>VLOOKUP(B49,BNOMINA,6,FALSE)</f>
        <v>1100000</v>
      </c>
      <c r="C52" s="91" t="s">
        <v>166</v>
      </c>
      <c r="D52" s="92">
        <f>VLOOKUP(B49,BNOMINA,21,FALSE)</f>
        <v>45600</v>
      </c>
      <c r="E52" s="93"/>
    </row>
    <row r="53" spans="1:5" ht="12" thickBot="1" x14ac:dyDescent="0.25">
      <c r="A53" s="94" t="s">
        <v>167</v>
      </c>
      <c r="B53" s="90">
        <f>VLOOKUP(B49,BNOMINA,15,FALSE)</f>
        <v>0</v>
      </c>
      <c r="C53" s="95" t="s">
        <v>168</v>
      </c>
      <c r="D53" s="92">
        <f>VLOOKUP(B49,BNOMINA,22,FALSE)</f>
        <v>45600</v>
      </c>
      <c r="E53" s="93"/>
    </row>
    <row r="54" spans="1:5" ht="12" thickBot="1" x14ac:dyDescent="0.25">
      <c r="A54" s="96" t="s">
        <v>169</v>
      </c>
      <c r="B54" s="90">
        <f>VLOOKUP(B49,BNOMINA,16,FALSE)</f>
        <v>88200</v>
      </c>
      <c r="C54" s="95" t="s">
        <v>170</v>
      </c>
      <c r="D54" s="92">
        <f>VLOOKUP(B49,BNOMINA,23,FALSE)</f>
        <v>0</v>
      </c>
      <c r="E54" s="93"/>
    </row>
    <row r="55" spans="1:5" ht="12" thickBot="1" x14ac:dyDescent="0.25">
      <c r="A55" s="94" t="s">
        <v>171</v>
      </c>
      <c r="B55" s="90">
        <f>VLOOKUP(B49,BNOMINA,17,FALSE)</f>
        <v>0</v>
      </c>
      <c r="C55" s="95" t="s">
        <v>172</v>
      </c>
      <c r="D55" s="92">
        <f>VLOOKUP(B49,BNOMINA,24,FALSE)</f>
        <v>110000</v>
      </c>
      <c r="E55" s="93"/>
    </row>
    <row r="56" spans="1:5" ht="12" thickBot="1" x14ac:dyDescent="0.25">
      <c r="A56" s="94" t="s">
        <v>173</v>
      </c>
      <c r="B56" s="90">
        <f>VLOOKUP(B49,BNOMINA,18,FALSE)</f>
        <v>40000</v>
      </c>
      <c r="C56" s="87" t="s">
        <v>174</v>
      </c>
      <c r="D56" s="92">
        <f>VLOOKUP(B49,BNOMINA,25,FALSE)</f>
        <v>22000</v>
      </c>
      <c r="E56" s="93"/>
    </row>
    <row r="57" spans="1:5" ht="12" thickBot="1" x14ac:dyDescent="0.25">
      <c r="A57" s="97"/>
      <c r="B57" s="98"/>
      <c r="C57" s="99"/>
      <c r="D57" s="99"/>
      <c r="E57" s="88"/>
    </row>
    <row r="58" spans="1:5" ht="12" thickBot="1" x14ac:dyDescent="0.25">
      <c r="A58" s="86" t="s">
        <v>175</v>
      </c>
      <c r="B58" s="90">
        <f>SUM(B52:B57)</f>
        <v>1228200</v>
      </c>
      <c r="C58" s="100" t="s">
        <v>176</v>
      </c>
      <c r="D58" s="304">
        <f>SUM(D52:D57)</f>
        <v>223200</v>
      </c>
      <c r="E58" s="305"/>
    </row>
    <row r="59" spans="1:5" x14ac:dyDescent="0.2">
      <c r="A59" s="97"/>
      <c r="B59" s="98"/>
      <c r="C59" s="98"/>
      <c r="D59" s="98"/>
      <c r="E59" s="88"/>
    </row>
    <row r="60" spans="1:5" ht="12" thickBot="1" x14ac:dyDescent="0.25">
      <c r="A60" s="101"/>
      <c r="B60" s="102"/>
      <c r="C60" s="102"/>
      <c r="D60" s="102"/>
      <c r="E60" s="103"/>
    </row>
    <row r="61" spans="1:5" ht="12" thickBot="1" x14ac:dyDescent="0.25">
      <c r="B61" s="105"/>
      <c r="C61" s="94" t="s">
        <v>177</v>
      </c>
      <c r="D61" s="306">
        <f>B58-D58</f>
        <v>1005000</v>
      </c>
      <c r="E61" s="307"/>
    </row>
    <row r="62" spans="1:5" ht="12" thickBot="1" x14ac:dyDescent="0.25"/>
    <row r="63" spans="1:5" x14ac:dyDescent="0.2">
      <c r="A63" s="308"/>
      <c r="B63" s="309"/>
      <c r="C63" s="309"/>
      <c r="D63" s="309"/>
      <c r="E63" s="310"/>
    </row>
    <row r="64" spans="1:5" x14ac:dyDescent="0.2">
      <c r="A64" s="311" t="s">
        <v>160</v>
      </c>
      <c r="B64" s="312"/>
      <c r="C64" s="312"/>
      <c r="D64" s="312"/>
      <c r="E64" s="313"/>
    </row>
    <row r="65" spans="1:5" x14ac:dyDescent="0.2">
      <c r="A65" s="314" t="s">
        <v>161</v>
      </c>
      <c r="B65" s="315"/>
      <c r="C65" s="315"/>
      <c r="D65" s="315"/>
      <c r="E65" s="316"/>
    </row>
    <row r="66" spans="1:5" x14ac:dyDescent="0.2">
      <c r="A66" s="311" t="s">
        <v>162</v>
      </c>
      <c r="B66" s="312"/>
      <c r="C66" s="312"/>
      <c r="D66" s="312"/>
      <c r="E66" s="313"/>
    </row>
    <row r="67" spans="1:5" ht="12" thickBot="1" x14ac:dyDescent="0.25">
      <c r="A67" s="293"/>
      <c r="B67" s="294"/>
      <c r="C67" s="294"/>
      <c r="D67" s="294"/>
      <c r="E67" s="295"/>
    </row>
    <row r="68" spans="1:5" ht="12" thickBot="1" x14ac:dyDescent="0.25">
      <c r="A68" s="86" t="s">
        <v>163</v>
      </c>
      <c r="B68" s="296" t="s">
        <v>14</v>
      </c>
      <c r="C68" s="297"/>
      <c r="D68" s="297"/>
      <c r="E68" s="298"/>
    </row>
    <row r="69" spans="1:5" ht="12" thickBot="1" x14ac:dyDescent="0.25">
      <c r="A69" s="87" t="s">
        <v>164</v>
      </c>
      <c r="B69" s="299" t="str">
        <f>IF(ISBLANK(B68:E68),"",IF(ISERROR(VLOOKUP(B68:E68,BNOMINA,2,FALSE)),"EL DATO NO EXISTE",VLOOKUP(B68:E68,BNOMINA,2,FALSE)))</f>
        <v>Camilo Ceballos</v>
      </c>
      <c r="C69" s="300"/>
      <c r="D69" s="300"/>
      <c r="E69" s="301"/>
    </row>
    <row r="70" spans="1:5" ht="12" thickBot="1" x14ac:dyDescent="0.25">
      <c r="A70" s="302"/>
      <c r="B70" s="303"/>
      <c r="C70" s="303"/>
      <c r="D70" s="303"/>
      <c r="E70" s="88"/>
    </row>
    <row r="71" spans="1:5" ht="12" thickBot="1" x14ac:dyDescent="0.25">
      <c r="A71" s="89" t="s">
        <v>165</v>
      </c>
      <c r="B71" s="90">
        <f>VLOOKUP(B68,BNOMINA,6,FALSE)</f>
        <v>781242</v>
      </c>
      <c r="C71" s="91" t="s">
        <v>166</v>
      </c>
      <c r="D71" s="92">
        <f>VLOOKUP(B68,BNOMINA,21,FALSE)</f>
        <v>33918.923500060002</v>
      </c>
      <c r="E71" s="93"/>
    </row>
    <row r="72" spans="1:5" ht="12" thickBot="1" x14ac:dyDescent="0.25">
      <c r="A72" s="94" t="s">
        <v>167</v>
      </c>
      <c r="B72" s="90">
        <f>VLOOKUP(B68,BNOMINA,15,FALSE)</f>
        <v>66731.087500000009</v>
      </c>
      <c r="C72" s="95" t="s">
        <v>168</v>
      </c>
      <c r="D72" s="92">
        <f>VLOOKUP(B68,BNOMINA,22,FALSE)</f>
        <v>33918.923500060002</v>
      </c>
      <c r="E72" s="93"/>
    </row>
    <row r="73" spans="1:5" ht="12" thickBot="1" x14ac:dyDescent="0.25">
      <c r="A73" s="96" t="s">
        <v>169</v>
      </c>
      <c r="B73" s="90">
        <f>VLOOKUP(B68,BNOMINA,16,FALSE)</f>
        <v>88200</v>
      </c>
      <c r="C73" s="95" t="s">
        <v>170</v>
      </c>
      <c r="D73" s="92">
        <f>VLOOKUP(B68,BNOMINA,23,FALSE)</f>
        <v>0</v>
      </c>
      <c r="E73" s="93"/>
    </row>
    <row r="74" spans="1:5" ht="12" thickBot="1" x14ac:dyDescent="0.25">
      <c r="A74" s="94" t="s">
        <v>171</v>
      </c>
      <c r="B74" s="90">
        <f>VLOOKUP(B68,BNOMINA,17,FALSE)</f>
        <v>0</v>
      </c>
      <c r="C74" s="95" t="s">
        <v>172</v>
      </c>
      <c r="D74" s="92">
        <f>VLOOKUP(B68,BNOMINA,24,FALSE)</f>
        <v>31249.68</v>
      </c>
      <c r="E74" s="93"/>
    </row>
    <row r="75" spans="1:5" ht="12" thickBot="1" x14ac:dyDescent="0.25">
      <c r="A75" s="94" t="s">
        <v>173</v>
      </c>
      <c r="B75" s="90">
        <f>VLOOKUP(B68,BNOMINA,18,FALSE)</f>
        <v>1.4999999999999998E-6</v>
      </c>
      <c r="C75" s="87" t="s">
        <v>174</v>
      </c>
      <c r="D75" s="92">
        <f>VLOOKUP(B68,BNOMINA,25,FALSE)</f>
        <v>3906.21</v>
      </c>
      <c r="E75" s="93"/>
    </row>
    <row r="76" spans="1:5" ht="12" thickBot="1" x14ac:dyDescent="0.25">
      <c r="A76" s="97"/>
      <c r="B76" s="98"/>
      <c r="C76" s="99"/>
      <c r="D76" s="99"/>
      <c r="E76" s="88"/>
    </row>
    <row r="77" spans="1:5" ht="12" thickBot="1" x14ac:dyDescent="0.25">
      <c r="A77" s="86" t="s">
        <v>175</v>
      </c>
      <c r="B77" s="90">
        <f>SUM(B71:B76)</f>
        <v>936173.08750150003</v>
      </c>
      <c r="C77" s="100" t="s">
        <v>176</v>
      </c>
      <c r="D77" s="304">
        <f>SUM(D71:D76)</f>
        <v>102993.73700012</v>
      </c>
      <c r="E77" s="305"/>
    </row>
    <row r="78" spans="1:5" x14ac:dyDescent="0.2">
      <c r="A78" s="97"/>
      <c r="B78" s="98"/>
      <c r="C78" s="98"/>
      <c r="D78" s="98"/>
      <c r="E78" s="88"/>
    </row>
    <row r="79" spans="1:5" ht="12" thickBot="1" x14ac:dyDescent="0.25">
      <c r="A79" s="101"/>
      <c r="B79" s="102"/>
      <c r="C79" s="102"/>
      <c r="D79" s="102"/>
      <c r="E79" s="103"/>
    </row>
    <row r="80" spans="1:5" ht="12" thickBot="1" x14ac:dyDescent="0.25">
      <c r="B80" s="105"/>
      <c r="C80" s="94" t="s">
        <v>177</v>
      </c>
      <c r="D80" s="306">
        <f>B77-D77</f>
        <v>833179.35050138005</v>
      </c>
      <c r="E80" s="307"/>
    </row>
    <row r="82" spans="1:5" ht="12" thickBot="1" x14ac:dyDescent="0.25"/>
    <row r="83" spans="1:5" x14ac:dyDescent="0.2">
      <c r="A83" s="308"/>
      <c r="B83" s="309"/>
      <c r="C83" s="309"/>
      <c r="D83" s="309"/>
      <c r="E83" s="310"/>
    </row>
    <row r="84" spans="1:5" x14ac:dyDescent="0.2">
      <c r="A84" s="311" t="s">
        <v>160</v>
      </c>
      <c r="B84" s="312"/>
      <c r="C84" s="312"/>
      <c r="D84" s="312"/>
      <c r="E84" s="313"/>
    </row>
    <row r="85" spans="1:5" x14ac:dyDescent="0.2">
      <c r="A85" s="314" t="s">
        <v>161</v>
      </c>
      <c r="B85" s="315"/>
      <c r="C85" s="315"/>
      <c r="D85" s="315"/>
      <c r="E85" s="316"/>
    </row>
    <row r="86" spans="1:5" x14ac:dyDescent="0.2">
      <c r="A86" s="311" t="s">
        <v>162</v>
      </c>
      <c r="B86" s="312"/>
      <c r="C86" s="312"/>
      <c r="D86" s="312"/>
      <c r="E86" s="313"/>
    </row>
    <row r="87" spans="1:5" ht="12" thickBot="1" x14ac:dyDescent="0.25">
      <c r="A87" s="293"/>
      <c r="B87" s="294"/>
      <c r="C87" s="294"/>
      <c r="D87" s="294"/>
      <c r="E87" s="295"/>
    </row>
    <row r="88" spans="1:5" ht="12" thickBot="1" x14ac:dyDescent="0.25">
      <c r="A88" s="86" t="s">
        <v>163</v>
      </c>
      <c r="B88" s="296" t="s">
        <v>17</v>
      </c>
      <c r="C88" s="297"/>
      <c r="D88" s="297"/>
      <c r="E88" s="298"/>
    </row>
    <row r="89" spans="1:5" ht="12" thickBot="1" x14ac:dyDescent="0.25">
      <c r="A89" s="87" t="s">
        <v>164</v>
      </c>
      <c r="B89" s="299" t="str">
        <f>IF(ISBLANK(B88:E88),"",IF(ISERROR(VLOOKUP(B88:E88,BNOMINA,2,FALSE)),"EL DATO NO EXISTE",VLOOKUP(B88:E88,BNOMINA,2,FALSE)))</f>
        <v>Carlos Andrés Giraldo</v>
      </c>
      <c r="C89" s="300"/>
      <c r="D89" s="300"/>
      <c r="E89" s="301"/>
    </row>
    <row r="90" spans="1:5" ht="12" thickBot="1" x14ac:dyDescent="0.25">
      <c r="A90" s="302"/>
      <c r="B90" s="303"/>
      <c r="C90" s="303"/>
      <c r="D90" s="303"/>
      <c r="E90" s="88"/>
    </row>
    <row r="91" spans="1:5" ht="12" thickBot="1" x14ac:dyDescent="0.25">
      <c r="A91" s="89" t="s">
        <v>165</v>
      </c>
      <c r="B91" s="90">
        <f>VLOOKUP(B88,BNOMINA,6,FALSE)</f>
        <v>950000</v>
      </c>
      <c r="C91" s="91" t="s">
        <v>166</v>
      </c>
      <c r="D91" s="92">
        <f>VLOOKUP(B88,BNOMINA,21,FALSE)</f>
        <v>39600</v>
      </c>
      <c r="E91" s="93"/>
    </row>
    <row r="92" spans="1:5" ht="12" thickBot="1" x14ac:dyDescent="0.25">
      <c r="A92" s="94" t="s">
        <v>167</v>
      </c>
      <c r="B92" s="90">
        <f>VLOOKUP(B88,BNOMINA,15,FALSE)</f>
        <v>0</v>
      </c>
      <c r="C92" s="95" t="s">
        <v>168</v>
      </c>
      <c r="D92" s="92">
        <f>VLOOKUP(B88,BNOMINA,22,FALSE)</f>
        <v>39600</v>
      </c>
      <c r="E92" s="93"/>
    </row>
    <row r="93" spans="1:5" ht="12" thickBot="1" x14ac:dyDescent="0.25">
      <c r="A93" s="96" t="s">
        <v>169</v>
      </c>
      <c r="B93" s="90">
        <f>VLOOKUP(B88,BNOMINA,16,FALSE)</f>
        <v>88200</v>
      </c>
      <c r="C93" s="95" t="s">
        <v>170</v>
      </c>
      <c r="D93" s="92">
        <f>VLOOKUP(B88,BNOMINA,23,FALSE)</f>
        <v>0</v>
      </c>
      <c r="E93" s="93"/>
    </row>
    <row r="94" spans="1:5" ht="12" thickBot="1" x14ac:dyDescent="0.25">
      <c r="A94" s="94" t="s">
        <v>171</v>
      </c>
      <c r="B94" s="90">
        <f>VLOOKUP(B88,BNOMINA,17,FALSE)</f>
        <v>0</v>
      </c>
      <c r="C94" s="95" t="s">
        <v>172</v>
      </c>
      <c r="D94" s="92">
        <f>VLOOKUP(B88,BNOMINA,24,FALSE)</f>
        <v>66500</v>
      </c>
      <c r="E94" s="93"/>
    </row>
    <row r="95" spans="1:5" ht="12" thickBot="1" x14ac:dyDescent="0.25">
      <c r="A95" s="94" t="s">
        <v>173</v>
      </c>
      <c r="B95" s="90">
        <f>VLOOKUP(B88,BNOMINA,18,FALSE)</f>
        <v>40000</v>
      </c>
      <c r="C95" s="87" t="s">
        <v>174</v>
      </c>
      <c r="D95" s="92">
        <f>VLOOKUP(B88,BNOMINA,25,FALSE)</f>
        <v>19000</v>
      </c>
      <c r="E95" s="93"/>
    </row>
    <row r="96" spans="1:5" ht="12" thickBot="1" x14ac:dyDescent="0.25">
      <c r="A96" s="97"/>
      <c r="B96" s="98"/>
      <c r="C96" s="99"/>
      <c r="D96" s="99"/>
      <c r="E96" s="88"/>
    </row>
    <row r="97" spans="1:5" ht="12" thickBot="1" x14ac:dyDescent="0.25">
      <c r="A97" s="86" t="s">
        <v>175</v>
      </c>
      <c r="B97" s="90">
        <f>SUM(B91:B96)</f>
        <v>1078200</v>
      </c>
      <c r="C97" s="100" t="s">
        <v>176</v>
      </c>
      <c r="D97" s="304">
        <f>SUM(D91:D96)</f>
        <v>164700</v>
      </c>
      <c r="E97" s="305"/>
    </row>
    <row r="98" spans="1:5" x14ac:dyDescent="0.2">
      <c r="A98" s="97"/>
      <c r="B98" s="98"/>
      <c r="C98" s="98"/>
      <c r="D98" s="98"/>
      <c r="E98" s="88"/>
    </row>
    <row r="99" spans="1:5" ht="12" thickBot="1" x14ac:dyDescent="0.25">
      <c r="A99" s="101"/>
      <c r="B99" s="102"/>
      <c r="C99" s="102"/>
      <c r="D99" s="102"/>
      <c r="E99" s="103"/>
    </row>
    <row r="100" spans="1:5" ht="12" thickBot="1" x14ac:dyDescent="0.25">
      <c r="B100" s="105"/>
      <c r="C100" s="94" t="s">
        <v>177</v>
      </c>
      <c r="D100" s="306">
        <f>B97-D97</f>
        <v>913500</v>
      </c>
      <c r="E100" s="307"/>
    </row>
    <row r="103" spans="1:5" ht="12" thickBot="1" x14ac:dyDescent="0.25"/>
    <row r="104" spans="1:5" x14ac:dyDescent="0.2">
      <c r="A104" s="308"/>
      <c r="B104" s="309"/>
      <c r="C104" s="309"/>
      <c r="D104" s="309"/>
      <c r="E104" s="310"/>
    </row>
    <row r="105" spans="1:5" x14ac:dyDescent="0.2">
      <c r="A105" s="311" t="s">
        <v>160</v>
      </c>
      <c r="B105" s="312"/>
      <c r="C105" s="312"/>
      <c r="D105" s="312"/>
      <c r="E105" s="313"/>
    </row>
    <row r="106" spans="1:5" x14ac:dyDescent="0.2">
      <c r="A106" s="314" t="s">
        <v>161</v>
      </c>
      <c r="B106" s="315"/>
      <c r="C106" s="315"/>
      <c r="D106" s="315"/>
      <c r="E106" s="316"/>
    </row>
    <row r="107" spans="1:5" x14ac:dyDescent="0.2">
      <c r="A107" s="311" t="s">
        <v>162</v>
      </c>
      <c r="B107" s="312"/>
      <c r="C107" s="312"/>
      <c r="D107" s="312"/>
      <c r="E107" s="313"/>
    </row>
    <row r="108" spans="1:5" ht="12" thickBot="1" x14ac:dyDescent="0.25">
      <c r="A108" s="293"/>
      <c r="B108" s="294"/>
      <c r="C108" s="294"/>
      <c r="D108" s="294"/>
      <c r="E108" s="295"/>
    </row>
    <row r="109" spans="1:5" ht="12" thickBot="1" x14ac:dyDescent="0.25">
      <c r="A109" s="86" t="s">
        <v>163</v>
      </c>
      <c r="B109" s="296" t="s">
        <v>20</v>
      </c>
      <c r="C109" s="297"/>
      <c r="D109" s="297"/>
      <c r="E109" s="298"/>
    </row>
    <row r="110" spans="1:5" ht="12" thickBot="1" x14ac:dyDescent="0.25">
      <c r="A110" s="87" t="s">
        <v>164</v>
      </c>
      <c r="B110" s="299" t="str">
        <f>IF(ISBLANK(B109:E109),"",IF(ISERROR(VLOOKUP(B109:E109,BNOMINA,2,FALSE)),"EL DATO NO EXISTE",VLOOKUP(B109:E109,BNOMINA,2,FALSE)))</f>
        <v>Carlos Mario Quiroz</v>
      </c>
      <c r="C110" s="300"/>
      <c r="D110" s="300"/>
      <c r="E110" s="301"/>
    </row>
    <row r="111" spans="1:5" ht="12" thickBot="1" x14ac:dyDescent="0.25">
      <c r="A111" s="302"/>
      <c r="B111" s="303"/>
      <c r="C111" s="303"/>
      <c r="D111" s="303"/>
      <c r="E111" s="88"/>
    </row>
    <row r="112" spans="1:5" ht="12" thickBot="1" x14ac:dyDescent="0.25">
      <c r="A112" s="89" t="s">
        <v>165</v>
      </c>
      <c r="B112" s="90">
        <f>VLOOKUP(B109,BNOMINA,6,FALSE)</f>
        <v>850000</v>
      </c>
      <c r="C112" s="91" t="s">
        <v>166</v>
      </c>
      <c r="D112" s="92">
        <f>VLOOKUP(B109,BNOMINA,21,FALSE)</f>
        <v>36400</v>
      </c>
      <c r="E112" s="93"/>
    </row>
    <row r="113" spans="1:5" ht="12" thickBot="1" x14ac:dyDescent="0.25">
      <c r="A113" s="94" t="s">
        <v>167</v>
      </c>
      <c r="B113" s="90">
        <f>VLOOKUP(B109,BNOMINA,15,FALSE)</f>
        <v>0</v>
      </c>
      <c r="C113" s="95" t="s">
        <v>168</v>
      </c>
      <c r="D113" s="92">
        <f>VLOOKUP(B109,BNOMINA,22,FALSE)</f>
        <v>36400</v>
      </c>
      <c r="E113" s="93"/>
    </row>
    <row r="114" spans="1:5" ht="12" thickBot="1" x14ac:dyDescent="0.25">
      <c r="A114" s="96" t="s">
        <v>169</v>
      </c>
      <c r="B114" s="90">
        <f>VLOOKUP(B109,BNOMINA,16,FALSE)</f>
        <v>88200</v>
      </c>
      <c r="C114" s="95" t="s">
        <v>170</v>
      </c>
      <c r="D114" s="92">
        <f>VLOOKUP(B109,BNOMINA,23,FALSE)</f>
        <v>0</v>
      </c>
      <c r="E114" s="93"/>
    </row>
    <row r="115" spans="1:5" ht="12" thickBot="1" x14ac:dyDescent="0.25">
      <c r="A115" s="94" t="s">
        <v>171</v>
      </c>
      <c r="B115" s="90">
        <f>VLOOKUP(B109,BNOMINA,17,FALSE)</f>
        <v>59999.999999999993</v>
      </c>
      <c r="C115" s="95" t="s">
        <v>172</v>
      </c>
      <c r="D115" s="92">
        <f>VLOOKUP(B109,BNOMINA,24,FALSE)</f>
        <v>59500.000000000007</v>
      </c>
      <c r="E115" s="93"/>
    </row>
    <row r="116" spans="1:5" ht="12" thickBot="1" x14ac:dyDescent="0.25">
      <c r="A116" s="94" t="s">
        <v>173</v>
      </c>
      <c r="B116" s="90">
        <f>VLOOKUP(B109,BNOMINA,18,FALSE)</f>
        <v>0</v>
      </c>
      <c r="C116" s="87" t="s">
        <v>174</v>
      </c>
      <c r="D116" s="92">
        <f>VLOOKUP(B109,BNOMINA,25,FALSE)</f>
        <v>17000</v>
      </c>
      <c r="E116" s="93"/>
    </row>
    <row r="117" spans="1:5" ht="12" thickBot="1" x14ac:dyDescent="0.25">
      <c r="A117" s="97"/>
      <c r="B117" s="98"/>
      <c r="C117" s="99"/>
      <c r="D117" s="99"/>
      <c r="E117" s="88"/>
    </row>
    <row r="118" spans="1:5" ht="12" thickBot="1" x14ac:dyDescent="0.25">
      <c r="A118" s="86" t="s">
        <v>175</v>
      </c>
      <c r="B118" s="90">
        <f>SUM(B112:B117)</f>
        <v>998200</v>
      </c>
      <c r="C118" s="100" t="s">
        <v>176</v>
      </c>
      <c r="D118" s="304">
        <f>SUM(D112:D117)</f>
        <v>149300</v>
      </c>
      <c r="E118" s="305"/>
    </row>
    <row r="119" spans="1:5" x14ac:dyDescent="0.2">
      <c r="A119" s="97"/>
      <c r="B119" s="98"/>
      <c r="C119" s="98"/>
      <c r="D119" s="98"/>
      <c r="E119" s="88"/>
    </row>
    <row r="120" spans="1:5" ht="12" thickBot="1" x14ac:dyDescent="0.25">
      <c r="A120" s="101"/>
      <c r="B120" s="102"/>
      <c r="C120" s="102"/>
      <c r="D120" s="102"/>
      <c r="E120" s="103"/>
    </row>
    <row r="121" spans="1:5" ht="12" thickBot="1" x14ac:dyDescent="0.25">
      <c r="B121" s="105"/>
      <c r="C121" s="94" t="s">
        <v>177</v>
      </c>
      <c r="D121" s="306">
        <f>B118-D118</f>
        <v>848900</v>
      </c>
      <c r="E121" s="307"/>
    </row>
    <row r="123" spans="1:5" ht="12" thickBot="1" x14ac:dyDescent="0.25"/>
    <row r="124" spans="1:5" x14ac:dyDescent="0.2">
      <c r="A124" s="308"/>
      <c r="B124" s="309"/>
      <c r="C124" s="309"/>
      <c r="D124" s="309"/>
      <c r="E124" s="310"/>
    </row>
    <row r="125" spans="1:5" x14ac:dyDescent="0.2">
      <c r="A125" s="311" t="s">
        <v>160</v>
      </c>
      <c r="B125" s="312"/>
      <c r="C125" s="312"/>
      <c r="D125" s="312"/>
      <c r="E125" s="313"/>
    </row>
    <row r="126" spans="1:5" x14ac:dyDescent="0.2">
      <c r="A126" s="314" t="s">
        <v>161</v>
      </c>
      <c r="B126" s="315"/>
      <c r="C126" s="315"/>
      <c r="D126" s="315"/>
      <c r="E126" s="316"/>
    </row>
    <row r="127" spans="1:5" x14ac:dyDescent="0.2">
      <c r="A127" s="311" t="s">
        <v>162</v>
      </c>
      <c r="B127" s="312"/>
      <c r="C127" s="312"/>
      <c r="D127" s="312"/>
      <c r="E127" s="313"/>
    </row>
    <row r="128" spans="1:5" ht="12" thickBot="1" x14ac:dyDescent="0.25">
      <c r="A128" s="293"/>
      <c r="B128" s="294"/>
      <c r="C128" s="294"/>
      <c r="D128" s="294"/>
      <c r="E128" s="295"/>
    </row>
    <row r="129" spans="1:5" ht="12" thickBot="1" x14ac:dyDescent="0.25">
      <c r="A129" s="86" t="s">
        <v>163</v>
      </c>
      <c r="B129" s="296" t="s">
        <v>22</v>
      </c>
      <c r="C129" s="297"/>
      <c r="D129" s="297"/>
      <c r="E129" s="298"/>
    </row>
    <row r="130" spans="1:5" ht="12" thickBot="1" x14ac:dyDescent="0.25">
      <c r="A130" s="87" t="s">
        <v>164</v>
      </c>
      <c r="B130" s="299" t="str">
        <f>IF(ISBLANK(B129:E129),"",IF(ISERROR(VLOOKUP(B129:E129,BNOMINA,2,FALSE)),"EL DATO NO EXISTE",VLOOKUP(B129:E129,BNOMINA,2,FALSE)))</f>
        <v>Carolina Rodríguez</v>
      </c>
      <c r="C130" s="300"/>
      <c r="D130" s="300"/>
      <c r="E130" s="301"/>
    </row>
    <row r="131" spans="1:5" ht="12" thickBot="1" x14ac:dyDescent="0.25">
      <c r="A131" s="302"/>
      <c r="B131" s="303"/>
      <c r="C131" s="303"/>
      <c r="D131" s="303"/>
      <c r="E131" s="88"/>
    </row>
    <row r="132" spans="1:5" ht="12" thickBot="1" x14ac:dyDescent="0.25">
      <c r="A132" s="89" t="s">
        <v>165</v>
      </c>
      <c r="B132" s="90">
        <f>VLOOKUP(B129,BNOMINA,6,FALSE)</f>
        <v>781242</v>
      </c>
      <c r="C132" s="91" t="s">
        <v>166</v>
      </c>
      <c r="D132" s="92">
        <f>VLOOKUP(B129,BNOMINA,21,FALSE)</f>
        <v>31249.68</v>
      </c>
      <c r="E132" s="93"/>
    </row>
    <row r="133" spans="1:5" ht="12" thickBot="1" x14ac:dyDescent="0.25">
      <c r="A133" s="94" t="s">
        <v>167</v>
      </c>
      <c r="B133" s="90">
        <f>VLOOKUP(B129,BNOMINA,15,FALSE)</f>
        <v>0</v>
      </c>
      <c r="C133" s="95" t="s">
        <v>168</v>
      </c>
      <c r="D133" s="92">
        <f>VLOOKUP(B129,BNOMINA,22,FALSE)</f>
        <v>31249.68</v>
      </c>
      <c r="E133" s="93"/>
    </row>
    <row r="134" spans="1:5" ht="12" thickBot="1" x14ac:dyDescent="0.25">
      <c r="A134" s="96" t="s">
        <v>169</v>
      </c>
      <c r="B134" s="90">
        <f>VLOOKUP(B129,BNOMINA,16,FALSE)</f>
        <v>88200</v>
      </c>
      <c r="C134" s="95" t="s">
        <v>170</v>
      </c>
      <c r="D134" s="92">
        <f>VLOOKUP(B129,BNOMINA,23,FALSE)</f>
        <v>0</v>
      </c>
      <c r="E134" s="93"/>
    </row>
    <row r="135" spans="1:5" ht="12" thickBot="1" x14ac:dyDescent="0.25">
      <c r="A135" s="94" t="s">
        <v>171</v>
      </c>
      <c r="B135" s="90">
        <f>VLOOKUP(B129,BNOMINA,17,FALSE)</f>
        <v>0</v>
      </c>
      <c r="C135" s="95" t="s">
        <v>172</v>
      </c>
      <c r="D135" s="92">
        <f>VLOOKUP(B129,BNOMINA,24,FALSE)</f>
        <v>31249.68</v>
      </c>
      <c r="E135" s="93"/>
    </row>
    <row r="136" spans="1:5" ht="12" thickBot="1" x14ac:dyDescent="0.25">
      <c r="A136" s="94" t="s">
        <v>173</v>
      </c>
      <c r="B136" s="90">
        <f>VLOOKUP(B129,BNOMINA,18,FALSE)</f>
        <v>0</v>
      </c>
      <c r="C136" s="87" t="s">
        <v>174</v>
      </c>
      <c r="D136" s="92">
        <f>VLOOKUP(B129,BNOMINA,25,FALSE)</f>
        <v>3906.21</v>
      </c>
      <c r="E136" s="93"/>
    </row>
    <row r="137" spans="1:5" ht="12" thickBot="1" x14ac:dyDescent="0.25">
      <c r="A137" s="97"/>
      <c r="B137" s="98"/>
      <c r="C137" s="99"/>
      <c r="D137" s="99"/>
      <c r="E137" s="88"/>
    </row>
    <row r="138" spans="1:5" ht="12" thickBot="1" x14ac:dyDescent="0.25">
      <c r="A138" s="86" t="s">
        <v>175</v>
      </c>
      <c r="B138" s="90">
        <f>SUM(B132:B137)</f>
        <v>869442</v>
      </c>
      <c r="C138" s="100" t="s">
        <v>176</v>
      </c>
      <c r="D138" s="304">
        <f>SUM(D132:D137)</f>
        <v>97655.250000000015</v>
      </c>
      <c r="E138" s="305"/>
    </row>
    <row r="139" spans="1:5" x14ac:dyDescent="0.2">
      <c r="A139" s="97"/>
      <c r="B139" s="98"/>
      <c r="C139" s="98"/>
      <c r="D139" s="98"/>
      <c r="E139" s="88"/>
    </row>
    <row r="140" spans="1:5" ht="12" thickBot="1" x14ac:dyDescent="0.25">
      <c r="A140" s="101"/>
      <c r="B140" s="102"/>
      <c r="C140" s="102"/>
      <c r="D140" s="102"/>
      <c r="E140" s="103"/>
    </row>
    <row r="141" spans="1:5" ht="12" thickBot="1" x14ac:dyDescent="0.25">
      <c r="B141" s="105"/>
      <c r="C141" s="94" t="s">
        <v>177</v>
      </c>
      <c r="D141" s="306">
        <f>B138-D138</f>
        <v>771786.75</v>
      </c>
      <c r="E141" s="307"/>
    </row>
    <row r="144" spans="1:5" ht="12" thickBot="1" x14ac:dyDescent="0.25"/>
    <row r="145" spans="1:5" x14ac:dyDescent="0.2">
      <c r="A145" s="308"/>
      <c r="B145" s="309"/>
      <c r="C145" s="309"/>
      <c r="D145" s="309"/>
      <c r="E145" s="310"/>
    </row>
    <row r="146" spans="1:5" x14ac:dyDescent="0.2">
      <c r="A146" s="311" t="s">
        <v>160</v>
      </c>
      <c r="B146" s="312"/>
      <c r="C146" s="312"/>
      <c r="D146" s="312"/>
      <c r="E146" s="313"/>
    </row>
    <row r="147" spans="1:5" x14ac:dyDescent="0.2">
      <c r="A147" s="314" t="s">
        <v>161</v>
      </c>
      <c r="B147" s="315"/>
      <c r="C147" s="315"/>
      <c r="D147" s="315"/>
      <c r="E147" s="316"/>
    </row>
    <row r="148" spans="1:5" x14ac:dyDescent="0.2">
      <c r="A148" s="311" t="s">
        <v>162</v>
      </c>
      <c r="B148" s="312"/>
      <c r="C148" s="312"/>
      <c r="D148" s="312"/>
      <c r="E148" s="313"/>
    </row>
    <row r="149" spans="1:5" ht="12" thickBot="1" x14ac:dyDescent="0.25">
      <c r="A149" s="293"/>
      <c r="B149" s="294"/>
      <c r="C149" s="294"/>
      <c r="D149" s="294"/>
      <c r="E149" s="295"/>
    </row>
    <row r="150" spans="1:5" ht="12" thickBot="1" x14ac:dyDescent="0.25">
      <c r="A150" s="86" t="s">
        <v>163</v>
      </c>
      <c r="B150" s="296" t="s">
        <v>25</v>
      </c>
      <c r="C150" s="297"/>
      <c r="D150" s="297"/>
      <c r="E150" s="298"/>
    </row>
    <row r="151" spans="1:5" ht="12" thickBot="1" x14ac:dyDescent="0.25">
      <c r="A151" s="87" t="s">
        <v>164</v>
      </c>
      <c r="B151" s="299" t="str">
        <f>IF(ISBLANK(B150:E150),"",IF(ISERROR(VLOOKUP(B150:E150,BNOMINA,2,FALSE)),"EL DATO NO EXISTE",VLOOKUP(B150:E150,BNOMINA,2,FALSE)))</f>
        <v>Claudia González</v>
      </c>
      <c r="C151" s="300"/>
      <c r="D151" s="300"/>
      <c r="E151" s="301"/>
    </row>
    <row r="152" spans="1:5" ht="12" thickBot="1" x14ac:dyDescent="0.25">
      <c r="A152" s="302"/>
      <c r="B152" s="303"/>
      <c r="C152" s="303"/>
      <c r="D152" s="303"/>
      <c r="E152" s="88"/>
    </row>
    <row r="153" spans="1:5" ht="12" thickBot="1" x14ac:dyDescent="0.25">
      <c r="A153" s="89" t="s">
        <v>165</v>
      </c>
      <c r="B153" s="90">
        <f>VLOOKUP(B150,BNOMINA,6,FALSE)</f>
        <v>850000</v>
      </c>
      <c r="C153" s="91" t="s">
        <v>166</v>
      </c>
      <c r="D153" s="92">
        <f>VLOOKUP(B150,BNOMINA,21,FALSE)</f>
        <v>36400</v>
      </c>
      <c r="E153" s="93"/>
    </row>
    <row r="154" spans="1:5" ht="12" thickBot="1" x14ac:dyDescent="0.25">
      <c r="A154" s="94" t="s">
        <v>167</v>
      </c>
      <c r="B154" s="90">
        <f>VLOOKUP(B150,BNOMINA,15,FALSE)</f>
        <v>0</v>
      </c>
      <c r="C154" s="95" t="s">
        <v>168</v>
      </c>
      <c r="D154" s="92">
        <f>VLOOKUP(B150,BNOMINA,22,FALSE)</f>
        <v>36400</v>
      </c>
      <c r="E154" s="93"/>
    </row>
    <row r="155" spans="1:5" ht="12" thickBot="1" x14ac:dyDescent="0.25">
      <c r="A155" s="96" t="s">
        <v>169</v>
      </c>
      <c r="B155" s="90">
        <f>VLOOKUP(B150,BNOMINA,16,FALSE)</f>
        <v>73500</v>
      </c>
      <c r="C155" s="95" t="s">
        <v>170</v>
      </c>
      <c r="D155" s="92">
        <f>VLOOKUP(B150,BNOMINA,23,FALSE)</f>
        <v>0</v>
      </c>
      <c r="E155" s="93"/>
    </row>
    <row r="156" spans="1:5" ht="12" thickBot="1" x14ac:dyDescent="0.25">
      <c r="A156" s="94" t="s">
        <v>171</v>
      </c>
      <c r="B156" s="90">
        <f>VLOOKUP(B150,BNOMINA,17,FALSE)</f>
        <v>59999.999999999993</v>
      </c>
      <c r="C156" s="95" t="s">
        <v>172</v>
      </c>
      <c r="D156" s="92">
        <f>VLOOKUP(B150,BNOMINA,24,FALSE)</f>
        <v>59500.000000000007</v>
      </c>
      <c r="E156" s="93"/>
    </row>
    <row r="157" spans="1:5" ht="12" thickBot="1" x14ac:dyDescent="0.25">
      <c r="A157" s="94" t="s">
        <v>173</v>
      </c>
      <c r="B157" s="90">
        <f>VLOOKUP(B150,BNOMINA,18,FALSE)</f>
        <v>0</v>
      </c>
      <c r="C157" s="87" t="s">
        <v>174</v>
      </c>
      <c r="D157" s="92">
        <f>VLOOKUP(B150,BNOMINA,25,FALSE)</f>
        <v>17000</v>
      </c>
      <c r="E157" s="93"/>
    </row>
    <row r="158" spans="1:5" ht="12" thickBot="1" x14ac:dyDescent="0.25">
      <c r="A158" s="97"/>
      <c r="B158" s="98"/>
      <c r="C158" s="99"/>
      <c r="D158" s="99"/>
      <c r="E158" s="88"/>
    </row>
    <row r="159" spans="1:5" ht="12" thickBot="1" x14ac:dyDescent="0.25">
      <c r="A159" s="86" t="s">
        <v>175</v>
      </c>
      <c r="B159" s="90">
        <f>SUM(B153:B158)</f>
        <v>983500</v>
      </c>
      <c r="C159" s="100" t="s">
        <v>176</v>
      </c>
      <c r="D159" s="304">
        <f>SUM(D153:D158)</f>
        <v>149300</v>
      </c>
      <c r="E159" s="305"/>
    </row>
    <row r="160" spans="1:5" x14ac:dyDescent="0.2">
      <c r="A160" s="97"/>
      <c r="B160" s="98"/>
      <c r="C160" s="98"/>
      <c r="D160" s="98"/>
      <c r="E160" s="88"/>
    </row>
    <row r="161" spans="1:5" ht="12" thickBot="1" x14ac:dyDescent="0.25">
      <c r="A161" s="101"/>
      <c r="B161" s="102"/>
      <c r="C161" s="102"/>
      <c r="D161" s="102"/>
      <c r="E161" s="103"/>
    </row>
    <row r="162" spans="1:5" ht="12" thickBot="1" x14ac:dyDescent="0.25">
      <c r="B162" s="105"/>
      <c r="C162" s="94" t="s">
        <v>177</v>
      </c>
      <c r="D162" s="306">
        <f>B159-D159</f>
        <v>834200</v>
      </c>
      <c r="E162" s="307"/>
    </row>
    <row r="165" spans="1:5" ht="12" thickBot="1" x14ac:dyDescent="0.25"/>
    <row r="166" spans="1:5" x14ac:dyDescent="0.2">
      <c r="A166" s="308"/>
      <c r="B166" s="309"/>
      <c r="C166" s="309"/>
      <c r="D166" s="309"/>
      <c r="E166" s="310"/>
    </row>
    <row r="167" spans="1:5" x14ac:dyDescent="0.2">
      <c r="A167" s="311" t="s">
        <v>160</v>
      </c>
      <c r="B167" s="312"/>
      <c r="C167" s="312"/>
      <c r="D167" s="312"/>
      <c r="E167" s="313"/>
    </row>
    <row r="168" spans="1:5" x14ac:dyDescent="0.2">
      <c r="A168" s="314" t="s">
        <v>161</v>
      </c>
      <c r="B168" s="315"/>
      <c r="C168" s="315"/>
      <c r="D168" s="315"/>
      <c r="E168" s="316"/>
    </row>
    <row r="169" spans="1:5" x14ac:dyDescent="0.2">
      <c r="A169" s="311" t="s">
        <v>162</v>
      </c>
      <c r="B169" s="312"/>
      <c r="C169" s="312"/>
      <c r="D169" s="312"/>
      <c r="E169" s="313"/>
    </row>
    <row r="170" spans="1:5" ht="12" thickBot="1" x14ac:dyDescent="0.25">
      <c r="A170" s="293"/>
      <c r="B170" s="294"/>
      <c r="C170" s="294"/>
      <c r="D170" s="294"/>
      <c r="E170" s="295"/>
    </row>
    <row r="171" spans="1:5" ht="12" thickBot="1" x14ac:dyDescent="0.25">
      <c r="A171" s="86" t="s">
        <v>163</v>
      </c>
      <c r="B171" s="296" t="s">
        <v>27</v>
      </c>
      <c r="C171" s="297"/>
      <c r="D171" s="297"/>
      <c r="E171" s="298"/>
    </row>
    <row r="172" spans="1:5" ht="12" thickBot="1" x14ac:dyDescent="0.25">
      <c r="A172" s="87" t="s">
        <v>164</v>
      </c>
      <c r="B172" s="299" t="str">
        <f>IF(ISBLANK(B171:E171),"",IF(ISERROR(VLOOKUP(B171:E171,BNOMINA,2,FALSE)),"EL DATO NO EXISTE",VLOOKUP(B171:E171,BNOMINA,2,FALSE)))</f>
        <v>Diana López</v>
      </c>
      <c r="C172" s="300"/>
      <c r="D172" s="300"/>
      <c r="E172" s="301"/>
    </row>
    <row r="173" spans="1:5" ht="12" thickBot="1" x14ac:dyDescent="0.25">
      <c r="A173" s="302"/>
      <c r="B173" s="303"/>
      <c r="C173" s="303"/>
      <c r="D173" s="303"/>
      <c r="E173" s="88"/>
    </row>
    <row r="174" spans="1:5" ht="12" thickBot="1" x14ac:dyDescent="0.25">
      <c r="A174" s="89" t="s">
        <v>165</v>
      </c>
      <c r="B174" s="90">
        <f>VLOOKUP(B171,BNOMINA,6,FALSE)</f>
        <v>950000</v>
      </c>
      <c r="C174" s="91" t="s">
        <v>166</v>
      </c>
      <c r="D174" s="92">
        <f>VLOOKUP(B171,BNOMINA,21,FALSE)</f>
        <v>39600</v>
      </c>
      <c r="E174" s="93"/>
    </row>
    <row r="175" spans="1:5" ht="12" thickBot="1" x14ac:dyDescent="0.25">
      <c r="A175" s="94" t="s">
        <v>167</v>
      </c>
      <c r="B175" s="90">
        <f>VLOOKUP(B171,BNOMINA,15,FALSE)</f>
        <v>0</v>
      </c>
      <c r="C175" s="95" t="s">
        <v>168</v>
      </c>
      <c r="D175" s="92">
        <f>VLOOKUP(B171,BNOMINA,22,FALSE)</f>
        <v>39600</v>
      </c>
      <c r="E175" s="93"/>
    </row>
    <row r="176" spans="1:5" ht="12" thickBot="1" x14ac:dyDescent="0.25">
      <c r="A176" s="96" t="s">
        <v>169</v>
      </c>
      <c r="B176" s="90">
        <f>VLOOKUP(B171,BNOMINA,16,FALSE)</f>
        <v>73500</v>
      </c>
      <c r="C176" s="95" t="s">
        <v>170</v>
      </c>
      <c r="D176" s="92">
        <f>VLOOKUP(B171,BNOMINA,23,FALSE)</f>
        <v>0</v>
      </c>
      <c r="E176" s="93"/>
    </row>
    <row r="177" spans="1:5" ht="12" thickBot="1" x14ac:dyDescent="0.25">
      <c r="A177" s="94" t="s">
        <v>171</v>
      </c>
      <c r="B177" s="90">
        <f>VLOOKUP(B171,BNOMINA,17,FALSE)</f>
        <v>0</v>
      </c>
      <c r="C177" s="95" t="s">
        <v>172</v>
      </c>
      <c r="D177" s="92">
        <f>VLOOKUP(B171,BNOMINA,24,FALSE)</f>
        <v>66500</v>
      </c>
      <c r="E177" s="93"/>
    </row>
    <row r="178" spans="1:5" ht="12" thickBot="1" x14ac:dyDescent="0.25">
      <c r="A178" s="94" t="s">
        <v>173</v>
      </c>
      <c r="B178" s="90">
        <f>VLOOKUP(B171,BNOMINA,18,FALSE)</f>
        <v>40000</v>
      </c>
      <c r="C178" s="87" t="s">
        <v>174</v>
      </c>
      <c r="D178" s="92">
        <f>VLOOKUP(B171,BNOMINA,25,FALSE)</f>
        <v>19000</v>
      </c>
      <c r="E178" s="93"/>
    </row>
    <row r="179" spans="1:5" ht="12" thickBot="1" x14ac:dyDescent="0.25">
      <c r="A179" s="97"/>
      <c r="B179" s="98"/>
      <c r="C179" s="99"/>
      <c r="D179" s="99"/>
      <c r="E179" s="88"/>
    </row>
    <row r="180" spans="1:5" ht="12" thickBot="1" x14ac:dyDescent="0.25">
      <c r="A180" s="86" t="s">
        <v>175</v>
      </c>
      <c r="B180" s="90">
        <f>SUM(B174:B179)</f>
        <v>1063500</v>
      </c>
      <c r="C180" s="100" t="s">
        <v>176</v>
      </c>
      <c r="D180" s="304">
        <f>SUM(D174:D179)</f>
        <v>164700</v>
      </c>
      <c r="E180" s="305"/>
    </row>
    <row r="181" spans="1:5" x14ac:dyDescent="0.2">
      <c r="A181" s="97"/>
      <c r="B181" s="98"/>
      <c r="C181" s="98"/>
      <c r="D181" s="98"/>
      <c r="E181" s="88"/>
    </row>
    <row r="182" spans="1:5" ht="12" thickBot="1" x14ac:dyDescent="0.25">
      <c r="A182" s="101"/>
      <c r="B182" s="102"/>
      <c r="C182" s="102"/>
      <c r="D182" s="102"/>
      <c r="E182" s="103"/>
    </row>
    <row r="183" spans="1:5" ht="12" thickBot="1" x14ac:dyDescent="0.25">
      <c r="B183" s="105"/>
      <c r="C183" s="94" t="s">
        <v>177</v>
      </c>
      <c r="D183" s="306">
        <f>B180-D180</f>
        <v>898800</v>
      </c>
      <c r="E183" s="307"/>
    </row>
    <row r="186" spans="1:5" ht="12" thickBot="1" x14ac:dyDescent="0.25"/>
    <row r="187" spans="1:5" x14ac:dyDescent="0.2">
      <c r="A187" s="308"/>
      <c r="B187" s="309"/>
      <c r="C187" s="309"/>
      <c r="D187" s="309"/>
      <c r="E187" s="310"/>
    </row>
    <row r="188" spans="1:5" x14ac:dyDescent="0.2">
      <c r="A188" s="311" t="s">
        <v>160</v>
      </c>
      <c r="B188" s="312"/>
      <c r="C188" s="312"/>
      <c r="D188" s="312"/>
      <c r="E188" s="313"/>
    </row>
    <row r="189" spans="1:5" x14ac:dyDescent="0.2">
      <c r="A189" s="314" t="s">
        <v>161</v>
      </c>
      <c r="B189" s="315"/>
      <c r="C189" s="315"/>
      <c r="D189" s="315"/>
      <c r="E189" s="316"/>
    </row>
    <row r="190" spans="1:5" x14ac:dyDescent="0.2">
      <c r="A190" s="311" t="s">
        <v>162</v>
      </c>
      <c r="B190" s="312"/>
      <c r="C190" s="312"/>
      <c r="D190" s="312"/>
      <c r="E190" s="313"/>
    </row>
    <row r="191" spans="1:5" ht="12" thickBot="1" x14ac:dyDescent="0.25">
      <c r="A191" s="293"/>
      <c r="B191" s="294"/>
      <c r="C191" s="294"/>
      <c r="D191" s="294"/>
      <c r="E191" s="295"/>
    </row>
    <row r="192" spans="1:5" ht="12" thickBot="1" x14ac:dyDescent="0.25">
      <c r="A192" s="86" t="s">
        <v>163</v>
      </c>
      <c r="B192" s="296" t="s">
        <v>29</v>
      </c>
      <c r="C192" s="297"/>
      <c r="D192" s="297"/>
      <c r="E192" s="298"/>
    </row>
    <row r="193" spans="1:5" ht="12" thickBot="1" x14ac:dyDescent="0.25">
      <c r="A193" s="87" t="s">
        <v>164</v>
      </c>
      <c r="B193" s="299" t="str">
        <f>IF(ISBLANK(B192:E192),"",IF(ISERROR(VLOOKUP(B192:E192,BNOMINA,2,FALSE)),"EL DATO NO EXISTE",VLOOKUP(B192:E192,BNOMINA,2,FALSE)))</f>
        <v>Didier Alejandro Sánchez</v>
      </c>
      <c r="C193" s="300"/>
      <c r="D193" s="300"/>
      <c r="E193" s="301"/>
    </row>
    <row r="194" spans="1:5" ht="12" thickBot="1" x14ac:dyDescent="0.25">
      <c r="A194" s="302"/>
      <c r="B194" s="303"/>
      <c r="C194" s="303"/>
      <c r="D194" s="303"/>
      <c r="E194" s="88"/>
    </row>
    <row r="195" spans="1:5" ht="12" thickBot="1" x14ac:dyDescent="0.25">
      <c r="A195" s="89" t="s">
        <v>165</v>
      </c>
      <c r="B195" s="90">
        <f>VLOOKUP(B192,BNOMINA,6,FALSE)</f>
        <v>900000</v>
      </c>
      <c r="C195" s="91" t="s">
        <v>166</v>
      </c>
      <c r="D195" s="92">
        <f>VLOOKUP(B192,BNOMINA,21,FALSE)</f>
        <v>37600</v>
      </c>
      <c r="E195" s="93"/>
    </row>
    <row r="196" spans="1:5" ht="12" thickBot="1" x14ac:dyDescent="0.25">
      <c r="A196" s="94" t="s">
        <v>167</v>
      </c>
      <c r="B196" s="90">
        <f>VLOOKUP(B192,BNOMINA,15,FALSE)</f>
        <v>0</v>
      </c>
      <c r="C196" s="95" t="s">
        <v>168</v>
      </c>
      <c r="D196" s="92">
        <f>VLOOKUP(B192,BNOMINA,22,FALSE)</f>
        <v>37600</v>
      </c>
      <c r="E196" s="93"/>
    </row>
    <row r="197" spans="1:5" ht="12" thickBot="1" x14ac:dyDescent="0.25">
      <c r="A197" s="96" t="s">
        <v>169</v>
      </c>
      <c r="B197" s="90">
        <f>VLOOKUP(B192,BNOMINA,16,FALSE)</f>
        <v>88200</v>
      </c>
      <c r="C197" s="95" t="s">
        <v>170</v>
      </c>
      <c r="D197" s="92">
        <f>VLOOKUP(B192,BNOMINA,23,FALSE)</f>
        <v>0</v>
      </c>
      <c r="E197" s="93"/>
    </row>
    <row r="198" spans="1:5" ht="12" thickBot="1" x14ac:dyDescent="0.25">
      <c r="A198" s="94" t="s">
        <v>171</v>
      </c>
      <c r="B198" s="90">
        <f>VLOOKUP(B192,BNOMINA,17,FALSE)</f>
        <v>0</v>
      </c>
      <c r="C198" s="95" t="s">
        <v>172</v>
      </c>
      <c r="D198" s="92">
        <f>VLOOKUP(B192,BNOMINA,24,FALSE)</f>
        <v>63000.000000000007</v>
      </c>
      <c r="E198" s="93"/>
    </row>
    <row r="199" spans="1:5" ht="12" thickBot="1" x14ac:dyDescent="0.25">
      <c r="A199" s="94" t="s">
        <v>173</v>
      </c>
      <c r="B199" s="90">
        <f>VLOOKUP(B192,BNOMINA,18,FALSE)</f>
        <v>40000</v>
      </c>
      <c r="C199" s="87" t="s">
        <v>174</v>
      </c>
      <c r="D199" s="92">
        <f>VLOOKUP(B192,BNOMINA,25,FALSE)</f>
        <v>18000</v>
      </c>
      <c r="E199" s="93"/>
    </row>
    <row r="200" spans="1:5" ht="12" thickBot="1" x14ac:dyDescent="0.25">
      <c r="A200" s="97"/>
      <c r="B200" s="98"/>
      <c r="C200" s="99"/>
      <c r="D200" s="99"/>
      <c r="E200" s="88"/>
    </row>
    <row r="201" spans="1:5" ht="12" thickBot="1" x14ac:dyDescent="0.25">
      <c r="A201" s="86" t="s">
        <v>175</v>
      </c>
      <c r="B201" s="90">
        <f>SUM(B195:B200)</f>
        <v>1028200</v>
      </c>
      <c r="C201" s="100" t="s">
        <v>176</v>
      </c>
      <c r="D201" s="304">
        <f>SUM(D195:D200)</f>
        <v>156200</v>
      </c>
      <c r="E201" s="305"/>
    </row>
    <row r="202" spans="1:5" x14ac:dyDescent="0.2">
      <c r="A202" s="97"/>
      <c r="B202" s="98"/>
      <c r="C202" s="98"/>
      <c r="D202" s="98"/>
      <c r="E202" s="88"/>
    </row>
    <row r="203" spans="1:5" ht="12" thickBot="1" x14ac:dyDescent="0.25">
      <c r="A203" s="101"/>
      <c r="B203" s="102"/>
      <c r="C203" s="102"/>
      <c r="D203" s="102"/>
      <c r="E203" s="103"/>
    </row>
    <row r="204" spans="1:5" ht="12" thickBot="1" x14ac:dyDescent="0.25">
      <c r="B204" s="105"/>
      <c r="C204" s="94" t="s">
        <v>177</v>
      </c>
      <c r="D204" s="306">
        <f>B201-D201</f>
        <v>872000</v>
      </c>
      <c r="E204" s="307"/>
    </row>
    <row r="208" spans="1:5" ht="12" thickBot="1" x14ac:dyDescent="0.25"/>
    <row r="209" spans="1:5" x14ac:dyDescent="0.2">
      <c r="A209" s="308"/>
      <c r="B209" s="309"/>
      <c r="C209" s="309"/>
      <c r="D209" s="309"/>
      <c r="E209" s="310"/>
    </row>
    <row r="210" spans="1:5" x14ac:dyDescent="0.2">
      <c r="A210" s="311" t="s">
        <v>160</v>
      </c>
      <c r="B210" s="312"/>
      <c r="C210" s="312"/>
      <c r="D210" s="312"/>
      <c r="E210" s="313"/>
    </row>
    <row r="211" spans="1:5" x14ac:dyDescent="0.2">
      <c r="A211" s="314" t="s">
        <v>161</v>
      </c>
      <c r="B211" s="315"/>
      <c r="C211" s="315"/>
      <c r="D211" s="315"/>
      <c r="E211" s="316"/>
    </row>
    <row r="212" spans="1:5" x14ac:dyDescent="0.2">
      <c r="A212" s="311" t="s">
        <v>162</v>
      </c>
      <c r="B212" s="312"/>
      <c r="C212" s="312"/>
      <c r="D212" s="312"/>
      <c r="E212" s="313"/>
    </row>
    <row r="213" spans="1:5" ht="12" thickBot="1" x14ac:dyDescent="0.25">
      <c r="A213" s="293"/>
      <c r="B213" s="294"/>
      <c r="C213" s="294"/>
      <c r="D213" s="294"/>
      <c r="E213" s="295"/>
    </row>
    <row r="214" spans="1:5" ht="12" thickBot="1" x14ac:dyDescent="0.25">
      <c r="A214" s="86" t="s">
        <v>163</v>
      </c>
      <c r="B214" s="296" t="s">
        <v>31</v>
      </c>
      <c r="C214" s="297"/>
      <c r="D214" s="297"/>
      <c r="E214" s="298"/>
    </row>
    <row r="215" spans="1:5" ht="12" thickBot="1" x14ac:dyDescent="0.25">
      <c r="A215" s="87" t="s">
        <v>164</v>
      </c>
      <c r="B215" s="299" t="str">
        <f>IF(ISBLANK(B214:E214),"",IF(ISERROR(VLOOKUP(B214:E214,BNOMINA,2,FALSE)),"EL DATO NO EXISTE",VLOOKUP(B214:E214,BNOMINA,2,FALSE)))</f>
        <v>Dora Luz Montoya</v>
      </c>
      <c r="C215" s="300"/>
      <c r="D215" s="300"/>
      <c r="E215" s="301"/>
    </row>
    <row r="216" spans="1:5" ht="12" thickBot="1" x14ac:dyDescent="0.25">
      <c r="A216" s="302"/>
      <c r="B216" s="303"/>
      <c r="C216" s="303"/>
      <c r="D216" s="303"/>
      <c r="E216" s="88"/>
    </row>
    <row r="217" spans="1:5" ht="12" thickBot="1" x14ac:dyDescent="0.25">
      <c r="A217" s="89" t="s">
        <v>165</v>
      </c>
      <c r="B217" s="90">
        <f>VLOOKUP(B214,BNOMINA,6,FALSE)</f>
        <v>1100000</v>
      </c>
      <c r="C217" s="91" t="s">
        <v>166</v>
      </c>
      <c r="D217" s="92">
        <f>VLOOKUP(B214,BNOMINA,21,FALSE)</f>
        <v>45600</v>
      </c>
      <c r="E217" s="93"/>
    </row>
    <row r="218" spans="1:5" ht="12" thickBot="1" x14ac:dyDescent="0.25">
      <c r="A218" s="94" t="s">
        <v>167</v>
      </c>
      <c r="B218" s="90">
        <f>VLOOKUP(B214,BNOMINA,15,FALSE)</f>
        <v>0</v>
      </c>
      <c r="C218" s="95" t="s">
        <v>168</v>
      </c>
      <c r="D218" s="92">
        <f>VLOOKUP(B214,BNOMINA,22,FALSE)</f>
        <v>45600</v>
      </c>
      <c r="E218" s="93"/>
    </row>
    <row r="219" spans="1:5" ht="12" thickBot="1" x14ac:dyDescent="0.25">
      <c r="A219" s="96" t="s">
        <v>169</v>
      </c>
      <c r="B219" s="90">
        <f>VLOOKUP(B214,BNOMINA,16,FALSE)</f>
        <v>88200</v>
      </c>
      <c r="C219" s="95" t="s">
        <v>170</v>
      </c>
      <c r="D219" s="92">
        <f>VLOOKUP(B214,BNOMINA,23,FALSE)</f>
        <v>0</v>
      </c>
      <c r="E219" s="93"/>
    </row>
    <row r="220" spans="1:5" ht="12" thickBot="1" x14ac:dyDescent="0.25">
      <c r="A220" s="94" t="s">
        <v>171</v>
      </c>
      <c r="B220" s="90">
        <f>VLOOKUP(B214,BNOMINA,17,FALSE)</f>
        <v>0</v>
      </c>
      <c r="C220" s="95" t="s">
        <v>172</v>
      </c>
      <c r="D220" s="92">
        <f>VLOOKUP(B214,BNOMINA,24,FALSE)</f>
        <v>110000</v>
      </c>
      <c r="E220" s="93"/>
    </row>
    <row r="221" spans="1:5" ht="12" thickBot="1" x14ac:dyDescent="0.25">
      <c r="A221" s="94" t="s">
        <v>173</v>
      </c>
      <c r="B221" s="90">
        <f>VLOOKUP(B214,BNOMINA,18,FALSE)</f>
        <v>40000</v>
      </c>
      <c r="C221" s="87" t="s">
        <v>174</v>
      </c>
      <c r="D221" s="92">
        <f>VLOOKUP(B214,BNOMINA,25,FALSE)</f>
        <v>22000</v>
      </c>
      <c r="E221" s="93"/>
    </row>
    <row r="222" spans="1:5" ht="12" thickBot="1" x14ac:dyDescent="0.25">
      <c r="A222" s="97"/>
      <c r="B222" s="98"/>
      <c r="C222" s="99"/>
      <c r="D222" s="99"/>
      <c r="E222" s="88"/>
    </row>
    <row r="223" spans="1:5" ht="12" thickBot="1" x14ac:dyDescent="0.25">
      <c r="A223" s="86" t="s">
        <v>175</v>
      </c>
      <c r="B223" s="90">
        <f>SUM(B217:B222)</f>
        <v>1228200</v>
      </c>
      <c r="C223" s="100" t="s">
        <v>176</v>
      </c>
      <c r="D223" s="304">
        <f>SUM(D217:D222)</f>
        <v>223200</v>
      </c>
      <c r="E223" s="305"/>
    </row>
    <row r="224" spans="1:5" x14ac:dyDescent="0.2">
      <c r="A224" s="97"/>
      <c r="B224" s="98"/>
      <c r="C224" s="98"/>
      <c r="D224" s="98"/>
      <c r="E224" s="88"/>
    </row>
    <row r="225" spans="1:5" ht="12" thickBot="1" x14ac:dyDescent="0.25">
      <c r="A225" s="101"/>
      <c r="B225" s="102"/>
      <c r="C225" s="102"/>
      <c r="D225" s="102"/>
      <c r="E225" s="103"/>
    </row>
    <row r="226" spans="1:5" ht="12" thickBot="1" x14ac:dyDescent="0.25">
      <c r="B226" s="105"/>
      <c r="C226" s="94" t="s">
        <v>177</v>
      </c>
      <c r="D226" s="306">
        <f>B223-D223</f>
        <v>1005000</v>
      </c>
      <c r="E226" s="307"/>
    </row>
    <row r="229" spans="1:5" ht="12" thickBot="1" x14ac:dyDescent="0.25"/>
    <row r="230" spans="1:5" x14ac:dyDescent="0.2">
      <c r="A230" s="308"/>
      <c r="B230" s="309"/>
      <c r="C230" s="309"/>
      <c r="D230" s="309"/>
      <c r="E230" s="310"/>
    </row>
    <row r="231" spans="1:5" x14ac:dyDescent="0.2">
      <c r="A231" s="311" t="s">
        <v>160</v>
      </c>
      <c r="B231" s="312"/>
      <c r="C231" s="312"/>
      <c r="D231" s="312"/>
      <c r="E231" s="313"/>
    </row>
    <row r="232" spans="1:5" x14ac:dyDescent="0.2">
      <c r="A232" s="314" t="s">
        <v>161</v>
      </c>
      <c r="B232" s="315"/>
      <c r="C232" s="315"/>
      <c r="D232" s="315"/>
      <c r="E232" s="316"/>
    </row>
    <row r="233" spans="1:5" x14ac:dyDescent="0.2">
      <c r="A233" s="311" t="s">
        <v>162</v>
      </c>
      <c r="B233" s="312"/>
      <c r="C233" s="312"/>
      <c r="D233" s="312"/>
      <c r="E233" s="313"/>
    </row>
    <row r="234" spans="1:5" ht="12" thickBot="1" x14ac:dyDescent="0.25">
      <c r="A234" s="293"/>
      <c r="B234" s="294"/>
      <c r="C234" s="294"/>
      <c r="D234" s="294"/>
      <c r="E234" s="295"/>
    </row>
    <row r="235" spans="1:5" ht="12" thickBot="1" x14ac:dyDescent="0.25">
      <c r="A235" s="86" t="s">
        <v>163</v>
      </c>
      <c r="B235" s="296" t="s">
        <v>33</v>
      </c>
      <c r="C235" s="297"/>
      <c r="D235" s="297"/>
      <c r="E235" s="298"/>
    </row>
    <row r="236" spans="1:5" ht="12" thickBot="1" x14ac:dyDescent="0.25">
      <c r="A236" s="87" t="s">
        <v>164</v>
      </c>
      <c r="B236" s="299" t="str">
        <f>IF(ISBLANK(B235:E235),"",IF(ISERROR(VLOOKUP(B235:E235,BNOMINA,2,FALSE)),"EL DATO NO EXISTE",VLOOKUP(B235:E235,BNOMINA,2,FALSE)))</f>
        <v>Doralba Galeano</v>
      </c>
      <c r="C236" s="300"/>
      <c r="D236" s="300"/>
      <c r="E236" s="301"/>
    </row>
    <row r="237" spans="1:5" ht="12" thickBot="1" x14ac:dyDescent="0.25">
      <c r="A237" s="302"/>
      <c r="B237" s="303"/>
      <c r="C237" s="303"/>
      <c r="D237" s="303"/>
      <c r="E237" s="88"/>
    </row>
    <row r="238" spans="1:5" ht="12" thickBot="1" x14ac:dyDescent="0.25">
      <c r="A238" s="89" t="s">
        <v>165</v>
      </c>
      <c r="B238" s="90">
        <f>VLOOKUP(B235,BNOMINA,6,FALSE)</f>
        <v>781242</v>
      </c>
      <c r="C238" s="91" t="s">
        <v>166</v>
      </c>
      <c r="D238" s="92">
        <f>VLOOKUP(B235,BNOMINA,21,FALSE)</f>
        <v>33918.923500000004</v>
      </c>
      <c r="E238" s="93"/>
    </row>
    <row r="239" spans="1:5" ht="12" thickBot="1" x14ac:dyDescent="0.25">
      <c r="A239" s="94" t="s">
        <v>167</v>
      </c>
      <c r="B239" s="90">
        <f>VLOOKUP(B235,BNOMINA,15,FALSE)</f>
        <v>66731.087500000009</v>
      </c>
      <c r="C239" s="95" t="s">
        <v>168</v>
      </c>
      <c r="D239" s="92">
        <f>VLOOKUP(B235,BNOMINA,22,FALSE)</f>
        <v>33918.923500000004</v>
      </c>
      <c r="E239" s="93"/>
    </row>
    <row r="240" spans="1:5" ht="12" thickBot="1" x14ac:dyDescent="0.25">
      <c r="A240" s="96" t="s">
        <v>169</v>
      </c>
      <c r="B240" s="90">
        <f>VLOOKUP(B235,BNOMINA,16,FALSE)</f>
        <v>88200</v>
      </c>
      <c r="C240" s="95" t="s">
        <v>170</v>
      </c>
      <c r="D240" s="92">
        <f>VLOOKUP(B235,BNOMINA,23,FALSE)</f>
        <v>0</v>
      </c>
      <c r="E240" s="93"/>
    </row>
    <row r="241" spans="1:5" ht="12" thickBot="1" x14ac:dyDescent="0.25">
      <c r="A241" s="94" t="s">
        <v>171</v>
      </c>
      <c r="B241" s="90">
        <f>VLOOKUP(B235,BNOMINA,17,FALSE)</f>
        <v>0</v>
      </c>
      <c r="C241" s="95" t="s">
        <v>172</v>
      </c>
      <c r="D241" s="92">
        <f>VLOOKUP(B235,BNOMINA,24,FALSE)</f>
        <v>31249.68</v>
      </c>
      <c r="E241" s="93"/>
    </row>
    <row r="242" spans="1:5" ht="12" thickBot="1" x14ac:dyDescent="0.25">
      <c r="A242" s="94" t="s">
        <v>173</v>
      </c>
      <c r="B242" s="90">
        <f>VLOOKUP(B235,BNOMINA,18,FALSE)</f>
        <v>0</v>
      </c>
      <c r="C242" s="87" t="s">
        <v>174</v>
      </c>
      <c r="D242" s="92">
        <f>VLOOKUP(B235,BNOMINA,25,FALSE)</f>
        <v>3906.21</v>
      </c>
      <c r="E242" s="93"/>
    </row>
    <row r="243" spans="1:5" ht="12" thickBot="1" x14ac:dyDescent="0.25">
      <c r="A243" s="97"/>
      <c r="B243" s="98"/>
      <c r="C243" s="99"/>
      <c r="D243" s="99"/>
      <c r="E243" s="88"/>
    </row>
    <row r="244" spans="1:5" ht="12" thickBot="1" x14ac:dyDescent="0.25">
      <c r="A244" s="86" t="s">
        <v>175</v>
      </c>
      <c r="B244" s="90">
        <f>SUM(B238:B243)</f>
        <v>936173.08750000002</v>
      </c>
      <c r="C244" s="100" t="s">
        <v>176</v>
      </c>
      <c r="D244" s="304">
        <f>SUM(D238:D243)</f>
        <v>102993.73700000001</v>
      </c>
      <c r="E244" s="305"/>
    </row>
    <row r="245" spans="1:5" x14ac:dyDescent="0.2">
      <c r="A245" s="97"/>
      <c r="B245" s="98"/>
      <c r="C245" s="98"/>
      <c r="D245" s="98"/>
      <c r="E245" s="88"/>
    </row>
    <row r="246" spans="1:5" ht="12" thickBot="1" x14ac:dyDescent="0.25">
      <c r="A246" s="101"/>
      <c r="B246" s="102"/>
      <c r="C246" s="102"/>
      <c r="D246" s="102"/>
      <c r="E246" s="103"/>
    </row>
    <row r="247" spans="1:5" ht="12" thickBot="1" x14ac:dyDescent="0.25">
      <c r="B247" s="105"/>
      <c r="C247" s="94" t="s">
        <v>177</v>
      </c>
      <c r="D247" s="306">
        <f>B244-D244</f>
        <v>833179.35050000006</v>
      </c>
      <c r="E247" s="307"/>
    </row>
    <row r="249" spans="1:5" ht="12" thickBot="1" x14ac:dyDescent="0.25"/>
    <row r="250" spans="1:5" x14ac:dyDescent="0.2">
      <c r="A250" s="308"/>
      <c r="B250" s="309"/>
      <c r="C250" s="309"/>
      <c r="D250" s="309"/>
      <c r="E250" s="310"/>
    </row>
    <row r="251" spans="1:5" x14ac:dyDescent="0.2">
      <c r="A251" s="311" t="s">
        <v>160</v>
      </c>
      <c r="B251" s="312"/>
      <c r="C251" s="312"/>
      <c r="D251" s="312"/>
      <c r="E251" s="313"/>
    </row>
    <row r="252" spans="1:5" x14ac:dyDescent="0.2">
      <c r="A252" s="314" t="s">
        <v>161</v>
      </c>
      <c r="B252" s="315"/>
      <c r="C252" s="315"/>
      <c r="D252" s="315"/>
      <c r="E252" s="316"/>
    </row>
    <row r="253" spans="1:5" x14ac:dyDescent="0.2">
      <c r="A253" s="311" t="s">
        <v>162</v>
      </c>
      <c r="B253" s="312"/>
      <c r="C253" s="312"/>
      <c r="D253" s="312"/>
      <c r="E253" s="313"/>
    </row>
    <row r="254" spans="1:5" ht="12" thickBot="1" x14ac:dyDescent="0.25">
      <c r="A254" s="293"/>
      <c r="B254" s="294"/>
      <c r="C254" s="294"/>
      <c r="D254" s="294"/>
      <c r="E254" s="295"/>
    </row>
    <row r="255" spans="1:5" ht="12" thickBot="1" x14ac:dyDescent="0.25">
      <c r="A255" s="86" t="s">
        <v>163</v>
      </c>
      <c r="B255" s="296" t="s">
        <v>36</v>
      </c>
      <c r="C255" s="297"/>
      <c r="D255" s="297"/>
      <c r="E255" s="298"/>
    </row>
    <row r="256" spans="1:5" ht="12" thickBot="1" x14ac:dyDescent="0.25">
      <c r="A256" s="87" t="s">
        <v>164</v>
      </c>
      <c r="B256" s="299" t="str">
        <f>IF(ISBLANK(B255:E255),"",IF(ISERROR(VLOOKUP(B255:E255,BNOMINA,2,FALSE)),"EL DATO NO EXISTE",VLOOKUP(B255:E255,BNOMINA,2,FALSE)))</f>
        <v>Eliana Marcela Aguirre</v>
      </c>
      <c r="C256" s="300"/>
      <c r="D256" s="300"/>
      <c r="E256" s="301"/>
    </row>
    <row r="257" spans="1:5" ht="12" thickBot="1" x14ac:dyDescent="0.25">
      <c r="A257" s="302"/>
      <c r="B257" s="303"/>
      <c r="C257" s="303"/>
      <c r="D257" s="303"/>
      <c r="E257" s="88"/>
    </row>
    <row r="258" spans="1:5" ht="12" thickBot="1" x14ac:dyDescent="0.25">
      <c r="A258" s="89" t="s">
        <v>165</v>
      </c>
      <c r="B258" s="90">
        <f>VLOOKUP(B255,BNOMINA,6,FALSE)</f>
        <v>9000000</v>
      </c>
      <c r="C258" s="91" t="s">
        <v>166</v>
      </c>
      <c r="D258" s="92">
        <f>VLOOKUP(B255,BNOMINA,21,FALSE)</f>
        <v>253120</v>
      </c>
      <c r="E258" s="93"/>
    </row>
    <row r="259" spans="1:5" ht="12" thickBot="1" x14ac:dyDescent="0.25">
      <c r="A259" s="94" t="s">
        <v>167</v>
      </c>
      <c r="B259" s="90">
        <f>VLOOKUP(B255,BNOMINA,15,FALSE)</f>
        <v>0</v>
      </c>
      <c r="C259" s="95" t="s">
        <v>168</v>
      </c>
      <c r="D259" s="92">
        <f>VLOOKUP(B255,BNOMINA,22,FALSE)</f>
        <v>253120</v>
      </c>
      <c r="E259" s="93"/>
    </row>
    <row r="260" spans="1:5" ht="12" thickBot="1" x14ac:dyDescent="0.25">
      <c r="A260" s="96" t="s">
        <v>169</v>
      </c>
      <c r="B260" s="90">
        <f>VLOOKUP(B255,BNOMINA,16,FALSE)</f>
        <v>0</v>
      </c>
      <c r="C260" s="95" t="s">
        <v>170</v>
      </c>
      <c r="D260" s="92">
        <f>VLOOKUP(B255,BNOMINA,23,FALSE)</f>
        <v>63000</v>
      </c>
      <c r="E260" s="93"/>
    </row>
    <row r="261" spans="1:5" ht="12" thickBot="1" x14ac:dyDescent="0.25">
      <c r="A261" s="94" t="s">
        <v>171</v>
      </c>
      <c r="B261" s="90">
        <f>VLOOKUP(B255,BNOMINA,17,FALSE)</f>
        <v>0</v>
      </c>
      <c r="C261" s="95" t="s">
        <v>172</v>
      </c>
      <c r="D261" s="92">
        <f>VLOOKUP(B255,BNOMINA,24,FALSE)</f>
        <v>630000</v>
      </c>
      <c r="E261" s="93"/>
    </row>
    <row r="262" spans="1:5" ht="12" thickBot="1" x14ac:dyDescent="0.25">
      <c r="A262" s="94" t="s">
        <v>173</v>
      </c>
      <c r="B262" s="90">
        <f>VLOOKUP(B255,BNOMINA,18,FALSE)</f>
        <v>40000</v>
      </c>
      <c r="C262" s="87" t="s">
        <v>174</v>
      </c>
      <c r="D262" s="92">
        <f>VLOOKUP(B255,BNOMINA,25,FALSE)</f>
        <v>125999.99999999999</v>
      </c>
      <c r="E262" s="93"/>
    </row>
    <row r="263" spans="1:5" ht="12" thickBot="1" x14ac:dyDescent="0.25">
      <c r="A263" s="97"/>
      <c r="B263" s="98"/>
      <c r="C263" s="99"/>
      <c r="D263" s="99"/>
      <c r="E263" s="88"/>
    </row>
    <row r="264" spans="1:5" ht="12" thickBot="1" x14ac:dyDescent="0.25">
      <c r="A264" s="86" t="s">
        <v>175</v>
      </c>
      <c r="B264" s="90">
        <f>SUM(B258:B263)</f>
        <v>9040000</v>
      </c>
      <c r="C264" s="100" t="s">
        <v>176</v>
      </c>
      <c r="D264" s="304">
        <f>SUM(D258:D263)</f>
        <v>1325240</v>
      </c>
      <c r="E264" s="305"/>
    </row>
    <row r="265" spans="1:5" x14ac:dyDescent="0.2">
      <c r="A265" s="97"/>
      <c r="B265" s="98"/>
      <c r="C265" s="98"/>
      <c r="D265" s="98"/>
      <c r="E265" s="88"/>
    </row>
    <row r="266" spans="1:5" ht="12" thickBot="1" x14ac:dyDescent="0.25">
      <c r="A266" s="101"/>
      <c r="B266" s="102"/>
      <c r="C266" s="102"/>
      <c r="D266" s="102"/>
      <c r="E266" s="103"/>
    </row>
    <row r="267" spans="1:5" ht="12" thickBot="1" x14ac:dyDescent="0.25">
      <c r="B267" s="105"/>
      <c r="C267" s="94" t="s">
        <v>177</v>
      </c>
      <c r="D267" s="306">
        <f>B264-D264</f>
        <v>7714760</v>
      </c>
      <c r="E267" s="307"/>
    </row>
    <row r="269" spans="1:5" ht="12" thickBot="1" x14ac:dyDescent="0.25"/>
    <row r="270" spans="1:5" x14ac:dyDescent="0.2">
      <c r="A270" s="308"/>
      <c r="B270" s="309"/>
      <c r="C270" s="309"/>
      <c r="D270" s="309"/>
      <c r="E270" s="310"/>
    </row>
    <row r="271" spans="1:5" x14ac:dyDescent="0.2">
      <c r="A271" s="311" t="s">
        <v>160</v>
      </c>
      <c r="B271" s="312"/>
      <c r="C271" s="312"/>
      <c r="D271" s="312"/>
      <c r="E271" s="313"/>
    </row>
    <row r="272" spans="1:5" x14ac:dyDescent="0.2">
      <c r="A272" s="314" t="s">
        <v>161</v>
      </c>
      <c r="B272" s="315"/>
      <c r="C272" s="315"/>
      <c r="D272" s="315"/>
      <c r="E272" s="316"/>
    </row>
    <row r="273" spans="1:5" x14ac:dyDescent="0.2">
      <c r="A273" s="311" t="s">
        <v>162</v>
      </c>
      <c r="B273" s="312"/>
      <c r="C273" s="312"/>
      <c r="D273" s="312"/>
      <c r="E273" s="313"/>
    </row>
    <row r="274" spans="1:5" ht="12" thickBot="1" x14ac:dyDescent="0.25">
      <c r="A274" s="293"/>
      <c r="B274" s="294"/>
      <c r="C274" s="294"/>
      <c r="D274" s="294"/>
      <c r="E274" s="295"/>
    </row>
    <row r="275" spans="1:5" ht="12" thickBot="1" x14ac:dyDescent="0.25">
      <c r="A275" s="86" t="s">
        <v>163</v>
      </c>
      <c r="B275" s="296" t="s">
        <v>39</v>
      </c>
      <c r="C275" s="297"/>
      <c r="D275" s="297"/>
      <c r="E275" s="298"/>
    </row>
    <row r="276" spans="1:5" ht="12" thickBot="1" x14ac:dyDescent="0.25">
      <c r="A276" s="87" t="s">
        <v>164</v>
      </c>
      <c r="B276" s="299" t="str">
        <f>IF(ISBLANK(B275:E275),"",IF(ISERROR(VLOOKUP(B275:E275,BNOMINA,2,FALSE)),"EL DATO NO EXISTE",VLOOKUP(B275:E275,BNOMINA,2,FALSE)))</f>
        <v>Francy Ruby Román</v>
      </c>
      <c r="C276" s="300"/>
      <c r="D276" s="300"/>
      <c r="E276" s="301"/>
    </row>
    <row r="277" spans="1:5" ht="12" thickBot="1" x14ac:dyDescent="0.25">
      <c r="A277" s="302"/>
      <c r="B277" s="303"/>
      <c r="C277" s="303"/>
      <c r="D277" s="303"/>
      <c r="E277" s="88"/>
    </row>
    <row r="278" spans="1:5" ht="12" thickBot="1" x14ac:dyDescent="0.25">
      <c r="A278" s="89" t="s">
        <v>165</v>
      </c>
      <c r="B278" s="90">
        <f>VLOOKUP(B275,BNOMINA,6,FALSE)</f>
        <v>1100000</v>
      </c>
      <c r="C278" s="91" t="s">
        <v>166</v>
      </c>
      <c r="D278" s="92">
        <f>VLOOKUP(B275,BNOMINA,21,FALSE)</f>
        <v>45600</v>
      </c>
      <c r="E278" s="93"/>
    </row>
    <row r="279" spans="1:5" ht="12" thickBot="1" x14ac:dyDescent="0.25">
      <c r="A279" s="94" t="s">
        <v>167</v>
      </c>
      <c r="B279" s="90">
        <f>VLOOKUP(B275,BNOMINA,15,FALSE)</f>
        <v>0</v>
      </c>
      <c r="C279" s="95" t="s">
        <v>168</v>
      </c>
      <c r="D279" s="92">
        <f>VLOOKUP(B275,BNOMINA,22,FALSE)</f>
        <v>45600</v>
      </c>
      <c r="E279" s="93"/>
    </row>
    <row r="280" spans="1:5" ht="12" thickBot="1" x14ac:dyDescent="0.25">
      <c r="A280" s="96" t="s">
        <v>169</v>
      </c>
      <c r="B280" s="90">
        <f>VLOOKUP(B275,BNOMINA,16,FALSE)</f>
        <v>88200</v>
      </c>
      <c r="C280" s="95" t="s">
        <v>170</v>
      </c>
      <c r="D280" s="92">
        <f>VLOOKUP(B275,BNOMINA,23,FALSE)</f>
        <v>0</v>
      </c>
      <c r="E280" s="93"/>
    </row>
    <row r="281" spans="1:5" ht="12" thickBot="1" x14ac:dyDescent="0.25">
      <c r="A281" s="94" t="s">
        <v>171</v>
      </c>
      <c r="B281" s="90">
        <f>VLOOKUP(B275,BNOMINA,17,FALSE)</f>
        <v>0</v>
      </c>
      <c r="C281" s="95" t="s">
        <v>172</v>
      </c>
      <c r="D281" s="92">
        <f>VLOOKUP(B275,BNOMINA,24,FALSE)</f>
        <v>110000</v>
      </c>
      <c r="E281" s="93"/>
    </row>
    <row r="282" spans="1:5" ht="12" thickBot="1" x14ac:dyDescent="0.25">
      <c r="A282" s="94" t="s">
        <v>173</v>
      </c>
      <c r="B282" s="90">
        <f>VLOOKUP(B275,BNOMINA,18,FALSE)</f>
        <v>40000</v>
      </c>
      <c r="C282" s="87" t="s">
        <v>174</v>
      </c>
      <c r="D282" s="92">
        <f>VLOOKUP(B275,BNOMINA,25,FALSE)</f>
        <v>22000</v>
      </c>
      <c r="E282" s="93"/>
    </row>
    <row r="283" spans="1:5" ht="12" thickBot="1" x14ac:dyDescent="0.25">
      <c r="A283" s="97"/>
      <c r="B283" s="98"/>
      <c r="C283" s="99"/>
      <c r="D283" s="99"/>
      <c r="E283" s="88"/>
    </row>
    <row r="284" spans="1:5" ht="12" thickBot="1" x14ac:dyDescent="0.25">
      <c r="A284" s="86" t="s">
        <v>175</v>
      </c>
      <c r="B284" s="90">
        <f>SUM(B278:B283)</f>
        <v>1228200</v>
      </c>
      <c r="C284" s="100" t="s">
        <v>176</v>
      </c>
      <c r="D284" s="304">
        <f>SUM(D278:D283)</f>
        <v>223200</v>
      </c>
      <c r="E284" s="305"/>
    </row>
    <row r="285" spans="1:5" x14ac:dyDescent="0.2">
      <c r="A285" s="97"/>
      <c r="B285" s="98"/>
      <c r="C285" s="98"/>
      <c r="D285" s="98"/>
      <c r="E285" s="88"/>
    </row>
    <row r="286" spans="1:5" ht="12" thickBot="1" x14ac:dyDescent="0.25">
      <c r="A286" s="101"/>
      <c r="B286" s="102"/>
      <c r="C286" s="102"/>
      <c r="D286" s="102"/>
      <c r="E286" s="103"/>
    </row>
    <row r="287" spans="1:5" ht="12" thickBot="1" x14ac:dyDescent="0.25">
      <c r="B287" s="105"/>
      <c r="C287" s="94" t="s">
        <v>177</v>
      </c>
      <c r="D287" s="306">
        <f>B284-D284</f>
        <v>1005000</v>
      </c>
      <c r="E287" s="307"/>
    </row>
    <row r="290" spans="1:5" ht="12" thickBot="1" x14ac:dyDescent="0.25"/>
    <row r="291" spans="1:5" x14ac:dyDescent="0.2">
      <c r="A291" s="308"/>
      <c r="B291" s="309"/>
      <c r="C291" s="309"/>
      <c r="D291" s="309"/>
      <c r="E291" s="310"/>
    </row>
    <row r="292" spans="1:5" x14ac:dyDescent="0.2">
      <c r="A292" s="311" t="s">
        <v>160</v>
      </c>
      <c r="B292" s="312"/>
      <c r="C292" s="312"/>
      <c r="D292" s="312"/>
      <c r="E292" s="313"/>
    </row>
    <row r="293" spans="1:5" x14ac:dyDescent="0.2">
      <c r="A293" s="314" t="s">
        <v>161</v>
      </c>
      <c r="B293" s="315"/>
      <c r="C293" s="315"/>
      <c r="D293" s="315"/>
      <c r="E293" s="316"/>
    </row>
    <row r="294" spans="1:5" x14ac:dyDescent="0.2">
      <c r="A294" s="311" t="s">
        <v>162</v>
      </c>
      <c r="B294" s="312"/>
      <c r="C294" s="312"/>
      <c r="D294" s="312"/>
      <c r="E294" s="313"/>
    </row>
    <row r="295" spans="1:5" ht="12" thickBot="1" x14ac:dyDescent="0.25">
      <c r="A295" s="293"/>
      <c r="B295" s="294"/>
      <c r="C295" s="294"/>
      <c r="D295" s="294"/>
      <c r="E295" s="295"/>
    </row>
    <row r="296" spans="1:5" ht="12" thickBot="1" x14ac:dyDescent="0.25">
      <c r="A296" s="86" t="s">
        <v>163</v>
      </c>
      <c r="B296" s="296" t="s">
        <v>41</v>
      </c>
      <c r="C296" s="297"/>
      <c r="D296" s="297"/>
      <c r="E296" s="298"/>
    </row>
    <row r="297" spans="1:5" ht="12" thickBot="1" x14ac:dyDescent="0.25">
      <c r="A297" s="87" t="s">
        <v>164</v>
      </c>
      <c r="B297" s="299" t="str">
        <f>IF(ISBLANK(B296:E296),"",IF(ISERROR(VLOOKUP(B296:E296,BNOMINA,2,FALSE)),"EL DATO NO EXISTE",VLOOKUP(B296:E296,BNOMINA,2,FALSE)))</f>
        <v>Hernán Darío Hernández</v>
      </c>
      <c r="C297" s="300"/>
      <c r="D297" s="300"/>
      <c r="E297" s="301"/>
    </row>
    <row r="298" spans="1:5" ht="12" thickBot="1" x14ac:dyDescent="0.25">
      <c r="A298" s="302"/>
      <c r="B298" s="303"/>
      <c r="C298" s="303"/>
      <c r="D298" s="303"/>
      <c r="E298" s="88"/>
    </row>
    <row r="299" spans="1:5" ht="12" thickBot="1" x14ac:dyDescent="0.25">
      <c r="A299" s="89" t="s">
        <v>165</v>
      </c>
      <c r="B299" s="90">
        <f>VLOOKUP(B296,BNOMINA,6,FALSE)</f>
        <v>850000</v>
      </c>
      <c r="C299" s="91" t="s">
        <v>166</v>
      </c>
      <c r="D299" s="92">
        <f>VLOOKUP(B296,BNOMINA,21,FALSE)</f>
        <v>36400</v>
      </c>
      <c r="E299" s="93"/>
    </row>
    <row r="300" spans="1:5" ht="12" thickBot="1" x14ac:dyDescent="0.25">
      <c r="A300" s="94" t="s">
        <v>167</v>
      </c>
      <c r="B300" s="90">
        <f>VLOOKUP(B296,BNOMINA,15,FALSE)</f>
        <v>0</v>
      </c>
      <c r="C300" s="95" t="s">
        <v>168</v>
      </c>
      <c r="D300" s="92">
        <f>VLOOKUP(B296,BNOMINA,22,FALSE)</f>
        <v>36400</v>
      </c>
      <c r="E300" s="93"/>
    </row>
    <row r="301" spans="1:5" ht="12" thickBot="1" x14ac:dyDescent="0.25">
      <c r="A301" s="96" t="s">
        <v>169</v>
      </c>
      <c r="B301" s="90">
        <f>VLOOKUP(B296,BNOMINA,16,FALSE)</f>
        <v>88200</v>
      </c>
      <c r="C301" s="95" t="s">
        <v>170</v>
      </c>
      <c r="D301" s="92">
        <f>VLOOKUP(B296,BNOMINA,23,FALSE)</f>
        <v>0</v>
      </c>
      <c r="E301" s="93"/>
    </row>
    <row r="302" spans="1:5" ht="12" thickBot="1" x14ac:dyDescent="0.25">
      <c r="A302" s="94" t="s">
        <v>171</v>
      </c>
      <c r="B302" s="90">
        <f>VLOOKUP(B296,BNOMINA,17,FALSE)</f>
        <v>59999.999999999993</v>
      </c>
      <c r="C302" s="95" t="s">
        <v>172</v>
      </c>
      <c r="D302" s="92">
        <f>VLOOKUP(B296,BNOMINA,24,FALSE)</f>
        <v>59500.000000000007</v>
      </c>
      <c r="E302" s="93"/>
    </row>
    <row r="303" spans="1:5" ht="12" thickBot="1" x14ac:dyDescent="0.25">
      <c r="A303" s="94" t="s">
        <v>173</v>
      </c>
      <c r="B303" s="90">
        <f>VLOOKUP(B296,BNOMINA,18,FALSE)</f>
        <v>0</v>
      </c>
      <c r="C303" s="87" t="s">
        <v>174</v>
      </c>
      <c r="D303" s="92">
        <f>VLOOKUP(B296,BNOMINA,25,FALSE)</f>
        <v>17000</v>
      </c>
      <c r="E303" s="93"/>
    </row>
    <row r="304" spans="1:5" ht="12" thickBot="1" x14ac:dyDescent="0.25">
      <c r="A304" s="97"/>
      <c r="B304" s="98"/>
      <c r="C304" s="99"/>
      <c r="D304" s="99"/>
      <c r="E304" s="88"/>
    </row>
    <row r="305" spans="1:5" ht="12" thickBot="1" x14ac:dyDescent="0.25">
      <c r="A305" s="86" t="s">
        <v>175</v>
      </c>
      <c r="B305" s="90">
        <f>SUM(B299:B304)</f>
        <v>998200</v>
      </c>
      <c r="C305" s="100" t="s">
        <v>176</v>
      </c>
      <c r="D305" s="304">
        <f>SUM(D299:D304)</f>
        <v>149300</v>
      </c>
      <c r="E305" s="305"/>
    </row>
    <row r="306" spans="1:5" x14ac:dyDescent="0.2">
      <c r="A306" s="97"/>
      <c r="B306" s="98"/>
      <c r="C306" s="98"/>
      <c r="D306" s="98"/>
      <c r="E306" s="88"/>
    </row>
    <row r="307" spans="1:5" ht="12" thickBot="1" x14ac:dyDescent="0.25">
      <c r="A307" s="101"/>
      <c r="B307" s="102"/>
      <c r="C307" s="102"/>
      <c r="D307" s="102"/>
      <c r="E307" s="103"/>
    </row>
    <row r="308" spans="1:5" ht="12" thickBot="1" x14ac:dyDescent="0.25">
      <c r="B308" s="105"/>
      <c r="C308" s="94" t="s">
        <v>177</v>
      </c>
      <c r="D308" s="306">
        <f>B305-D305</f>
        <v>848900</v>
      </c>
      <c r="E308" s="307"/>
    </row>
    <row r="312" spans="1:5" ht="12" thickBot="1" x14ac:dyDescent="0.25"/>
    <row r="313" spans="1:5" x14ac:dyDescent="0.2">
      <c r="A313" s="308"/>
      <c r="B313" s="309"/>
      <c r="C313" s="309"/>
      <c r="D313" s="309"/>
      <c r="E313" s="310"/>
    </row>
    <row r="314" spans="1:5" x14ac:dyDescent="0.2">
      <c r="A314" s="311" t="s">
        <v>160</v>
      </c>
      <c r="B314" s="312"/>
      <c r="C314" s="312"/>
      <c r="D314" s="312"/>
      <c r="E314" s="313"/>
    </row>
    <row r="315" spans="1:5" x14ac:dyDescent="0.2">
      <c r="A315" s="314" t="s">
        <v>161</v>
      </c>
      <c r="B315" s="315"/>
      <c r="C315" s="315"/>
      <c r="D315" s="315"/>
      <c r="E315" s="316"/>
    </row>
    <row r="316" spans="1:5" x14ac:dyDescent="0.2">
      <c r="A316" s="311" t="s">
        <v>162</v>
      </c>
      <c r="B316" s="312"/>
      <c r="C316" s="312"/>
      <c r="D316" s="312"/>
      <c r="E316" s="313"/>
    </row>
    <row r="317" spans="1:5" ht="12" thickBot="1" x14ac:dyDescent="0.25">
      <c r="A317" s="293"/>
      <c r="B317" s="294"/>
      <c r="C317" s="294"/>
      <c r="D317" s="294"/>
      <c r="E317" s="295"/>
    </row>
    <row r="318" spans="1:5" ht="12" thickBot="1" x14ac:dyDescent="0.25">
      <c r="A318" s="86" t="s">
        <v>163</v>
      </c>
      <c r="B318" s="296" t="s">
        <v>43</v>
      </c>
      <c r="C318" s="297"/>
      <c r="D318" s="297"/>
      <c r="E318" s="298"/>
    </row>
    <row r="319" spans="1:5" ht="12" thickBot="1" x14ac:dyDescent="0.25">
      <c r="A319" s="87" t="s">
        <v>164</v>
      </c>
      <c r="B319" s="299" t="str">
        <f>IF(ISBLANK(B318:E318),"",IF(ISERROR(VLOOKUP(B318:E318,BNOMINA,2,FALSE)),"EL DATO NO EXISTE",VLOOKUP(B318:E318,BNOMINA,2,FALSE)))</f>
        <v>Leidy Maritza Herrera</v>
      </c>
      <c r="C319" s="300"/>
      <c r="D319" s="300"/>
      <c r="E319" s="301"/>
    </row>
    <row r="320" spans="1:5" ht="12" thickBot="1" x14ac:dyDescent="0.25">
      <c r="A320" s="302"/>
      <c r="B320" s="303"/>
      <c r="C320" s="303"/>
      <c r="D320" s="303"/>
      <c r="E320" s="88"/>
    </row>
    <row r="321" spans="1:5" ht="12" thickBot="1" x14ac:dyDescent="0.25">
      <c r="A321" s="89" t="s">
        <v>165</v>
      </c>
      <c r="B321" s="90">
        <f>VLOOKUP(B318,BNOMINA,6,FALSE)</f>
        <v>781242</v>
      </c>
      <c r="C321" s="91" t="s">
        <v>166</v>
      </c>
      <c r="D321" s="92">
        <f>VLOOKUP(B318,BNOMINA,21,FALSE)</f>
        <v>33918.923500000004</v>
      </c>
      <c r="E321" s="93"/>
    </row>
    <row r="322" spans="1:5" ht="12" thickBot="1" x14ac:dyDescent="0.25">
      <c r="A322" s="94" t="s">
        <v>167</v>
      </c>
      <c r="B322" s="90">
        <f>VLOOKUP(B318,BNOMINA,15,FALSE)</f>
        <v>66731.087500000009</v>
      </c>
      <c r="C322" s="95" t="s">
        <v>168</v>
      </c>
      <c r="D322" s="92">
        <f>VLOOKUP(B318,BNOMINA,22,FALSE)</f>
        <v>33918.923500000004</v>
      </c>
      <c r="E322" s="93"/>
    </row>
    <row r="323" spans="1:5" ht="12" thickBot="1" x14ac:dyDescent="0.25">
      <c r="A323" s="96" t="s">
        <v>169</v>
      </c>
      <c r="B323" s="90">
        <f>VLOOKUP(B318,BNOMINA,16,FALSE)</f>
        <v>88200</v>
      </c>
      <c r="C323" s="95" t="s">
        <v>170</v>
      </c>
      <c r="D323" s="92">
        <f>VLOOKUP(B318,BNOMINA,23,FALSE)</f>
        <v>0</v>
      </c>
      <c r="E323" s="93"/>
    </row>
    <row r="324" spans="1:5" ht="12" thickBot="1" x14ac:dyDescent="0.25">
      <c r="A324" s="94" t="s">
        <v>171</v>
      </c>
      <c r="B324" s="90">
        <f>VLOOKUP(B318,BNOMINA,17,FALSE)</f>
        <v>0</v>
      </c>
      <c r="C324" s="95" t="s">
        <v>172</v>
      </c>
      <c r="D324" s="92">
        <f>VLOOKUP(B318,BNOMINA,24,FALSE)</f>
        <v>31249.68</v>
      </c>
      <c r="E324" s="93"/>
    </row>
    <row r="325" spans="1:5" ht="12" thickBot="1" x14ac:dyDescent="0.25">
      <c r="A325" s="94" t="s">
        <v>173</v>
      </c>
      <c r="B325" s="90">
        <f>VLOOKUP(B318,BNOMINA,18,FALSE)</f>
        <v>0</v>
      </c>
      <c r="C325" s="87" t="s">
        <v>174</v>
      </c>
      <c r="D325" s="92">
        <f>VLOOKUP(B318,BNOMINA,25,FALSE)</f>
        <v>3906.21</v>
      </c>
      <c r="E325" s="93"/>
    </row>
    <row r="326" spans="1:5" ht="12" thickBot="1" x14ac:dyDescent="0.25">
      <c r="A326" s="97"/>
      <c r="B326" s="98"/>
      <c r="C326" s="99"/>
      <c r="D326" s="99"/>
      <c r="E326" s="88"/>
    </row>
    <row r="327" spans="1:5" ht="12" thickBot="1" x14ac:dyDescent="0.25">
      <c r="A327" s="86" t="s">
        <v>175</v>
      </c>
      <c r="B327" s="90">
        <f>SUM(B321:B326)</f>
        <v>936173.08750000002</v>
      </c>
      <c r="C327" s="100" t="s">
        <v>176</v>
      </c>
      <c r="D327" s="304">
        <f>SUM(D321:D326)</f>
        <v>102993.73700000001</v>
      </c>
      <c r="E327" s="305"/>
    </row>
    <row r="328" spans="1:5" x14ac:dyDescent="0.2">
      <c r="A328" s="97"/>
      <c r="B328" s="98"/>
      <c r="C328" s="98"/>
      <c r="D328" s="98"/>
      <c r="E328" s="88"/>
    </row>
    <row r="329" spans="1:5" ht="12" thickBot="1" x14ac:dyDescent="0.25">
      <c r="A329" s="101"/>
      <c r="B329" s="102"/>
      <c r="C329" s="102"/>
      <c r="D329" s="102"/>
      <c r="E329" s="103"/>
    </row>
    <row r="330" spans="1:5" ht="12" thickBot="1" x14ac:dyDescent="0.25">
      <c r="B330" s="105"/>
      <c r="C330" s="94" t="s">
        <v>177</v>
      </c>
      <c r="D330" s="306">
        <f>B327-D327</f>
        <v>833179.35050000006</v>
      </c>
      <c r="E330" s="307"/>
    </row>
    <row r="332" spans="1:5" ht="12" thickBot="1" x14ac:dyDescent="0.25"/>
    <row r="333" spans="1:5" x14ac:dyDescent="0.2">
      <c r="A333" s="308"/>
      <c r="B333" s="309"/>
      <c r="C333" s="309"/>
      <c r="D333" s="309"/>
      <c r="E333" s="310"/>
    </row>
    <row r="334" spans="1:5" x14ac:dyDescent="0.2">
      <c r="A334" s="311" t="s">
        <v>160</v>
      </c>
      <c r="B334" s="312"/>
      <c r="C334" s="312"/>
      <c r="D334" s="312"/>
      <c r="E334" s="313"/>
    </row>
    <row r="335" spans="1:5" x14ac:dyDescent="0.2">
      <c r="A335" s="314" t="s">
        <v>161</v>
      </c>
      <c r="B335" s="315"/>
      <c r="C335" s="315"/>
      <c r="D335" s="315"/>
      <c r="E335" s="316"/>
    </row>
    <row r="336" spans="1:5" x14ac:dyDescent="0.2">
      <c r="A336" s="311" t="s">
        <v>162</v>
      </c>
      <c r="B336" s="312"/>
      <c r="C336" s="312"/>
      <c r="D336" s="312"/>
      <c r="E336" s="313"/>
    </row>
    <row r="337" spans="1:5" ht="12" thickBot="1" x14ac:dyDescent="0.25">
      <c r="A337" s="293"/>
      <c r="B337" s="294"/>
      <c r="C337" s="294"/>
      <c r="D337" s="294"/>
      <c r="E337" s="295"/>
    </row>
    <row r="338" spans="1:5" ht="12" thickBot="1" x14ac:dyDescent="0.25">
      <c r="A338" s="86" t="s">
        <v>163</v>
      </c>
      <c r="B338" s="296" t="s">
        <v>45</v>
      </c>
      <c r="C338" s="297"/>
      <c r="D338" s="297"/>
      <c r="E338" s="298"/>
    </row>
    <row r="339" spans="1:5" ht="12" thickBot="1" x14ac:dyDescent="0.25">
      <c r="A339" s="87" t="s">
        <v>164</v>
      </c>
      <c r="B339" s="299" t="str">
        <f>IF(ISBLANK(B338:E338),"",IF(ISERROR(VLOOKUP(B338:E338,BNOMINA,2,FALSE)),"EL DATO NO EXISTE",VLOOKUP(B338:E338,BNOMINA,2,FALSE)))</f>
        <v>Leidy Rosalía Galvis</v>
      </c>
      <c r="C339" s="300"/>
      <c r="D339" s="300"/>
      <c r="E339" s="301"/>
    </row>
    <row r="340" spans="1:5" ht="12" thickBot="1" x14ac:dyDescent="0.25">
      <c r="A340" s="302"/>
      <c r="B340" s="303"/>
      <c r="C340" s="303"/>
      <c r="D340" s="303"/>
      <c r="E340" s="88"/>
    </row>
    <row r="341" spans="1:5" ht="12" thickBot="1" x14ac:dyDescent="0.25">
      <c r="A341" s="89" t="s">
        <v>165</v>
      </c>
      <c r="B341" s="90">
        <f>VLOOKUP(B338,BNOMINA,6,FALSE)</f>
        <v>1100000</v>
      </c>
      <c r="C341" s="91" t="s">
        <v>166</v>
      </c>
      <c r="D341" s="92">
        <f>VLOOKUP(B338,BNOMINA,21,FALSE)</f>
        <v>45600</v>
      </c>
      <c r="E341" s="93"/>
    </row>
    <row r="342" spans="1:5" ht="12" thickBot="1" x14ac:dyDescent="0.25">
      <c r="A342" s="94" t="s">
        <v>167</v>
      </c>
      <c r="B342" s="90">
        <f>VLOOKUP(B338,BNOMINA,15,FALSE)</f>
        <v>0</v>
      </c>
      <c r="C342" s="95" t="s">
        <v>168</v>
      </c>
      <c r="D342" s="92">
        <f>VLOOKUP(B338,BNOMINA,22,FALSE)</f>
        <v>45600</v>
      </c>
      <c r="E342" s="93"/>
    </row>
    <row r="343" spans="1:5" ht="12" thickBot="1" x14ac:dyDescent="0.25">
      <c r="A343" s="96" t="s">
        <v>169</v>
      </c>
      <c r="B343" s="90">
        <f>VLOOKUP(B338,BNOMINA,16,FALSE)</f>
        <v>88200</v>
      </c>
      <c r="C343" s="95" t="s">
        <v>170</v>
      </c>
      <c r="D343" s="92">
        <f>VLOOKUP(B338,BNOMINA,23,FALSE)</f>
        <v>0</v>
      </c>
      <c r="E343" s="93"/>
    </row>
    <row r="344" spans="1:5" ht="12" thickBot="1" x14ac:dyDescent="0.25">
      <c r="A344" s="94" t="s">
        <v>171</v>
      </c>
      <c r="B344" s="90">
        <f>VLOOKUP(B338,BNOMINA,17,FALSE)</f>
        <v>0</v>
      </c>
      <c r="C344" s="95" t="s">
        <v>172</v>
      </c>
      <c r="D344" s="92">
        <f>VLOOKUP(B338,BNOMINA,24,FALSE)</f>
        <v>110000</v>
      </c>
      <c r="E344" s="93"/>
    </row>
    <row r="345" spans="1:5" ht="12" thickBot="1" x14ac:dyDescent="0.25">
      <c r="A345" s="94" t="s">
        <v>173</v>
      </c>
      <c r="B345" s="90">
        <f>VLOOKUP(B338,BNOMINA,18,FALSE)</f>
        <v>40000</v>
      </c>
      <c r="C345" s="87" t="s">
        <v>174</v>
      </c>
      <c r="D345" s="92">
        <f>VLOOKUP(B338,BNOMINA,25,FALSE)</f>
        <v>22000</v>
      </c>
      <c r="E345" s="93"/>
    </row>
    <row r="346" spans="1:5" ht="12" thickBot="1" x14ac:dyDescent="0.25">
      <c r="A346" s="97"/>
      <c r="B346" s="98"/>
      <c r="C346" s="99"/>
      <c r="D346" s="99"/>
      <c r="E346" s="88"/>
    </row>
    <row r="347" spans="1:5" ht="12" thickBot="1" x14ac:dyDescent="0.25">
      <c r="A347" s="86" t="s">
        <v>175</v>
      </c>
      <c r="B347" s="90">
        <f>SUM(B341:B346)</f>
        <v>1228200</v>
      </c>
      <c r="C347" s="100" t="s">
        <v>176</v>
      </c>
      <c r="D347" s="304">
        <f>SUM(D341:D346)</f>
        <v>223200</v>
      </c>
      <c r="E347" s="305"/>
    </row>
    <row r="348" spans="1:5" x14ac:dyDescent="0.2">
      <c r="A348" s="97"/>
      <c r="B348" s="98"/>
      <c r="C348" s="98"/>
      <c r="D348" s="98"/>
      <c r="E348" s="88"/>
    </row>
    <row r="349" spans="1:5" ht="12" thickBot="1" x14ac:dyDescent="0.25">
      <c r="A349" s="101"/>
      <c r="B349" s="102"/>
      <c r="C349" s="102"/>
      <c r="D349" s="102"/>
      <c r="E349" s="103"/>
    </row>
    <row r="350" spans="1:5" ht="12" thickBot="1" x14ac:dyDescent="0.25">
      <c r="B350" s="105"/>
      <c r="C350" s="94" t="s">
        <v>177</v>
      </c>
      <c r="D350" s="306">
        <f>B347-D347</f>
        <v>1005000</v>
      </c>
      <c r="E350" s="307"/>
    </row>
    <row r="352" spans="1:5" ht="12" thickBot="1" x14ac:dyDescent="0.25"/>
    <row r="353" spans="1:5" x14ac:dyDescent="0.2">
      <c r="A353" s="308"/>
      <c r="B353" s="309"/>
      <c r="C353" s="309"/>
      <c r="D353" s="309"/>
      <c r="E353" s="310"/>
    </row>
    <row r="354" spans="1:5" x14ac:dyDescent="0.2">
      <c r="A354" s="311" t="s">
        <v>160</v>
      </c>
      <c r="B354" s="312"/>
      <c r="C354" s="312"/>
      <c r="D354" s="312"/>
      <c r="E354" s="313"/>
    </row>
    <row r="355" spans="1:5" x14ac:dyDescent="0.2">
      <c r="A355" s="314" t="s">
        <v>161</v>
      </c>
      <c r="B355" s="315"/>
      <c r="C355" s="315"/>
      <c r="D355" s="315"/>
      <c r="E355" s="316"/>
    </row>
    <row r="356" spans="1:5" x14ac:dyDescent="0.2">
      <c r="A356" s="311" t="s">
        <v>162</v>
      </c>
      <c r="B356" s="312"/>
      <c r="C356" s="312"/>
      <c r="D356" s="312"/>
      <c r="E356" s="313"/>
    </row>
    <row r="357" spans="1:5" ht="12" thickBot="1" x14ac:dyDescent="0.25">
      <c r="A357" s="293"/>
      <c r="B357" s="294"/>
      <c r="C357" s="294"/>
      <c r="D357" s="294"/>
      <c r="E357" s="295"/>
    </row>
    <row r="358" spans="1:5" ht="12" thickBot="1" x14ac:dyDescent="0.25">
      <c r="A358" s="86" t="s">
        <v>163</v>
      </c>
      <c r="B358" s="296" t="s">
        <v>47</v>
      </c>
      <c r="C358" s="297"/>
      <c r="D358" s="297"/>
      <c r="E358" s="298"/>
    </row>
    <row r="359" spans="1:5" ht="12" thickBot="1" x14ac:dyDescent="0.25">
      <c r="A359" s="87" t="s">
        <v>164</v>
      </c>
      <c r="B359" s="299" t="str">
        <f>IF(ISBLANK(B358:E358),"",IF(ISERROR(VLOOKUP(B358:E358,BNOMINA,2,FALSE)),"EL DATO NO EXISTE",VLOOKUP(B358:E358,BNOMINA,2,FALSE)))</f>
        <v>Luis Fernando Vanegas</v>
      </c>
      <c r="C359" s="300"/>
      <c r="D359" s="300"/>
      <c r="E359" s="301"/>
    </row>
    <row r="360" spans="1:5" ht="12" thickBot="1" x14ac:dyDescent="0.25">
      <c r="A360" s="302"/>
      <c r="B360" s="303"/>
      <c r="C360" s="303"/>
      <c r="D360" s="303"/>
      <c r="E360" s="88"/>
    </row>
    <row r="361" spans="1:5" ht="12" thickBot="1" x14ac:dyDescent="0.25">
      <c r="A361" s="89" t="s">
        <v>165</v>
      </c>
      <c r="B361" s="90">
        <f>VLOOKUP(B358,BNOMINA,6,FALSE)</f>
        <v>900000</v>
      </c>
      <c r="C361" s="91" t="s">
        <v>166</v>
      </c>
      <c r="D361" s="92">
        <f>VLOOKUP(B358,BNOMINA,21,FALSE)</f>
        <v>37600</v>
      </c>
      <c r="E361" s="93"/>
    </row>
    <row r="362" spans="1:5" ht="12" thickBot="1" x14ac:dyDescent="0.25">
      <c r="A362" s="94" t="s">
        <v>167</v>
      </c>
      <c r="B362" s="90">
        <f>VLOOKUP(B358,BNOMINA,15,FALSE)</f>
        <v>0</v>
      </c>
      <c r="C362" s="95" t="s">
        <v>168</v>
      </c>
      <c r="D362" s="92">
        <f>VLOOKUP(B358,BNOMINA,22,FALSE)</f>
        <v>37600</v>
      </c>
      <c r="E362" s="93"/>
    </row>
    <row r="363" spans="1:5" ht="12" thickBot="1" x14ac:dyDescent="0.25">
      <c r="A363" s="96" t="s">
        <v>169</v>
      </c>
      <c r="B363" s="90">
        <f>VLOOKUP(B358,BNOMINA,16,FALSE)</f>
        <v>88200</v>
      </c>
      <c r="C363" s="95" t="s">
        <v>170</v>
      </c>
      <c r="D363" s="92">
        <f>VLOOKUP(B358,BNOMINA,23,FALSE)</f>
        <v>0</v>
      </c>
      <c r="E363" s="93"/>
    </row>
    <row r="364" spans="1:5" ht="12" thickBot="1" x14ac:dyDescent="0.25">
      <c r="A364" s="94" t="s">
        <v>171</v>
      </c>
      <c r="B364" s="90">
        <f>VLOOKUP(B358,BNOMINA,17,FALSE)</f>
        <v>0</v>
      </c>
      <c r="C364" s="95" t="s">
        <v>172</v>
      </c>
      <c r="D364" s="92">
        <f>VLOOKUP(B358,BNOMINA,24,FALSE)</f>
        <v>63000.000000000007</v>
      </c>
      <c r="E364" s="93"/>
    </row>
    <row r="365" spans="1:5" ht="12" thickBot="1" x14ac:dyDescent="0.25">
      <c r="A365" s="94" t="s">
        <v>173</v>
      </c>
      <c r="B365" s="90">
        <f>VLOOKUP(B358,BNOMINA,18,FALSE)</f>
        <v>40000</v>
      </c>
      <c r="C365" s="87" t="s">
        <v>174</v>
      </c>
      <c r="D365" s="92">
        <f>VLOOKUP(B358,BNOMINA,25,FALSE)</f>
        <v>18000</v>
      </c>
      <c r="E365" s="93"/>
    </row>
    <row r="366" spans="1:5" ht="12" thickBot="1" x14ac:dyDescent="0.25">
      <c r="A366" s="97"/>
      <c r="B366" s="98"/>
      <c r="C366" s="99"/>
      <c r="D366" s="99"/>
      <c r="E366" s="88"/>
    </row>
    <row r="367" spans="1:5" ht="12" thickBot="1" x14ac:dyDescent="0.25">
      <c r="A367" s="86" t="s">
        <v>175</v>
      </c>
      <c r="B367" s="90">
        <f>SUM(B361:B366)</f>
        <v>1028200</v>
      </c>
      <c r="C367" s="100" t="s">
        <v>176</v>
      </c>
      <c r="D367" s="304">
        <f>SUM(D361:D366)</f>
        <v>156200</v>
      </c>
      <c r="E367" s="305"/>
    </row>
    <row r="368" spans="1:5" x14ac:dyDescent="0.2">
      <c r="A368" s="97"/>
      <c r="B368" s="98"/>
      <c r="C368" s="98"/>
      <c r="D368" s="98"/>
      <c r="E368" s="88"/>
    </row>
    <row r="369" spans="1:5" ht="12" thickBot="1" x14ac:dyDescent="0.25">
      <c r="A369" s="101"/>
      <c r="B369" s="102"/>
      <c r="C369" s="102"/>
      <c r="D369" s="102"/>
      <c r="E369" s="103"/>
    </row>
    <row r="370" spans="1:5" ht="12" thickBot="1" x14ac:dyDescent="0.25">
      <c r="B370" s="105"/>
      <c r="C370" s="94" t="s">
        <v>177</v>
      </c>
      <c r="D370" s="306">
        <f>B367-D367</f>
        <v>872000</v>
      </c>
      <c r="E370" s="307"/>
    </row>
    <row r="373" spans="1:5" ht="12" thickBot="1" x14ac:dyDescent="0.25"/>
    <row r="374" spans="1:5" x14ac:dyDescent="0.2">
      <c r="A374" s="308"/>
      <c r="B374" s="309"/>
      <c r="C374" s="309"/>
      <c r="D374" s="309"/>
      <c r="E374" s="310"/>
    </row>
    <row r="375" spans="1:5" x14ac:dyDescent="0.2">
      <c r="A375" s="311" t="s">
        <v>160</v>
      </c>
      <c r="B375" s="312"/>
      <c r="C375" s="312"/>
      <c r="D375" s="312"/>
      <c r="E375" s="313"/>
    </row>
    <row r="376" spans="1:5" x14ac:dyDescent="0.2">
      <c r="A376" s="314" t="s">
        <v>161</v>
      </c>
      <c r="B376" s="315"/>
      <c r="C376" s="315"/>
      <c r="D376" s="315"/>
      <c r="E376" s="316"/>
    </row>
    <row r="377" spans="1:5" x14ac:dyDescent="0.2">
      <c r="A377" s="311" t="s">
        <v>162</v>
      </c>
      <c r="B377" s="312"/>
      <c r="C377" s="312"/>
      <c r="D377" s="312"/>
      <c r="E377" s="313"/>
    </row>
    <row r="378" spans="1:5" ht="12" thickBot="1" x14ac:dyDescent="0.25">
      <c r="A378" s="293"/>
      <c r="B378" s="294"/>
      <c r="C378" s="294"/>
      <c r="D378" s="294"/>
      <c r="E378" s="295"/>
    </row>
    <row r="379" spans="1:5" ht="12" thickBot="1" x14ac:dyDescent="0.25">
      <c r="A379" s="86" t="s">
        <v>163</v>
      </c>
      <c r="B379" s="296" t="s">
        <v>49</v>
      </c>
      <c r="C379" s="297"/>
      <c r="D379" s="297"/>
      <c r="E379" s="298"/>
    </row>
    <row r="380" spans="1:5" ht="12" thickBot="1" x14ac:dyDescent="0.25">
      <c r="A380" s="87" t="s">
        <v>164</v>
      </c>
      <c r="B380" s="299" t="str">
        <f>IF(ISBLANK(B379:E379),"",IF(ISERROR(VLOOKUP(B379:E379,BNOMINA,2,FALSE)),"EL DATO NO EXISTE",VLOOKUP(B379:E379,BNOMINA,2,FALSE)))</f>
        <v>Liliana Ríos</v>
      </c>
      <c r="C380" s="300"/>
      <c r="D380" s="300"/>
      <c r="E380" s="301"/>
    </row>
    <row r="381" spans="1:5" ht="12" thickBot="1" x14ac:dyDescent="0.25">
      <c r="A381" s="302"/>
      <c r="B381" s="303"/>
      <c r="C381" s="303"/>
      <c r="D381" s="303"/>
      <c r="E381" s="88"/>
    </row>
    <row r="382" spans="1:5" ht="12" thickBot="1" x14ac:dyDescent="0.25">
      <c r="A382" s="89" t="s">
        <v>165</v>
      </c>
      <c r="B382" s="90">
        <f>VLOOKUP(B379,BNOMINA,6,FALSE)</f>
        <v>850000</v>
      </c>
      <c r="C382" s="91" t="s">
        <v>166</v>
      </c>
      <c r="D382" s="92">
        <f>VLOOKUP(B379,BNOMINA,21,FALSE)</f>
        <v>36400</v>
      </c>
      <c r="E382" s="93"/>
    </row>
    <row r="383" spans="1:5" ht="12" thickBot="1" x14ac:dyDescent="0.25">
      <c r="A383" s="94" t="s">
        <v>167</v>
      </c>
      <c r="B383" s="90">
        <f>VLOOKUP(B379,BNOMINA,15,FALSE)</f>
        <v>0</v>
      </c>
      <c r="C383" s="95" t="s">
        <v>168</v>
      </c>
      <c r="D383" s="92">
        <f>VLOOKUP(B379,BNOMINA,22,FALSE)</f>
        <v>36400</v>
      </c>
      <c r="E383" s="93"/>
    </row>
    <row r="384" spans="1:5" ht="12" thickBot="1" x14ac:dyDescent="0.25">
      <c r="A384" s="96" t="s">
        <v>169</v>
      </c>
      <c r="B384" s="90">
        <f>VLOOKUP(B379,BNOMINA,16,FALSE)</f>
        <v>88200</v>
      </c>
      <c r="C384" s="95" t="s">
        <v>170</v>
      </c>
      <c r="D384" s="92">
        <f>VLOOKUP(B379,BNOMINA,23,FALSE)</f>
        <v>0</v>
      </c>
      <c r="E384" s="93"/>
    </row>
    <row r="385" spans="1:5" ht="12" thickBot="1" x14ac:dyDescent="0.25">
      <c r="A385" s="94" t="s">
        <v>171</v>
      </c>
      <c r="B385" s="90">
        <f>VLOOKUP(B379,BNOMINA,17,FALSE)</f>
        <v>59999.999999999993</v>
      </c>
      <c r="C385" s="95" t="s">
        <v>172</v>
      </c>
      <c r="D385" s="92">
        <f>VLOOKUP(B379,BNOMINA,24,FALSE)</f>
        <v>59500.000000000007</v>
      </c>
      <c r="E385" s="93"/>
    </row>
    <row r="386" spans="1:5" ht="12" thickBot="1" x14ac:dyDescent="0.25">
      <c r="A386" s="94" t="s">
        <v>173</v>
      </c>
      <c r="B386" s="90">
        <f>VLOOKUP(B379,BNOMINA,18,FALSE)</f>
        <v>0</v>
      </c>
      <c r="C386" s="87" t="s">
        <v>174</v>
      </c>
      <c r="D386" s="92">
        <f>VLOOKUP(B379,BNOMINA,25,FALSE)</f>
        <v>17000</v>
      </c>
      <c r="E386" s="93"/>
    </row>
    <row r="387" spans="1:5" ht="12" thickBot="1" x14ac:dyDescent="0.25">
      <c r="A387" s="97"/>
      <c r="B387" s="98"/>
      <c r="C387" s="99"/>
      <c r="D387" s="99"/>
      <c r="E387" s="88"/>
    </row>
    <row r="388" spans="1:5" ht="12" thickBot="1" x14ac:dyDescent="0.25">
      <c r="A388" s="86" t="s">
        <v>175</v>
      </c>
      <c r="B388" s="90">
        <f>SUM(B382:B387)</f>
        <v>998200</v>
      </c>
      <c r="C388" s="100" t="s">
        <v>176</v>
      </c>
      <c r="D388" s="304">
        <f>SUM(D382:D387)</f>
        <v>149300</v>
      </c>
      <c r="E388" s="305"/>
    </row>
    <row r="389" spans="1:5" x14ac:dyDescent="0.2">
      <c r="A389" s="97"/>
      <c r="B389" s="98"/>
      <c r="C389" s="98"/>
      <c r="D389" s="98"/>
      <c r="E389" s="88"/>
    </row>
    <row r="390" spans="1:5" ht="12" thickBot="1" x14ac:dyDescent="0.25">
      <c r="A390" s="101"/>
      <c r="B390" s="102"/>
      <c r="C390" s="102"/>
      <c r="D390" s="102"/>
      <c r="E390" s="103"/>
    </row>
    <row r="391" spans="1:5" ht="12" thickBot="1" x14ac:dyDescent="0.25">
      <c r="B391" s="105"/>
      <c r="C391" s="94" t="s">
        <v>177</v>
      </c>
      <c r="D391" s="306">
        <f>B388-D388</f>
        <v>848900</v>
      </c>
      <c r="E391" s="307"/>
    </row>
    <row r="394" spans="1:5" ht="12" thickBot="1" x14ac:dyDescent="0.25"/>
    <row r="395" spans="1:5" x14ac:dyDescent="0.2">
      <c r="A395" s="308"/>
      <c r="B395" s="309"/>
      <c r="C395" s="309"/>
      <c r="D395" s="309"/>
      <c r="E395" s="310"/>
    </row>
    <row r="396" spans="1:5" x14ac:dyDescent="0.2">
      <c r="A396" s="311" t="s">
        <v>160</v>
      </c>
      <c r="B396" s="312"/>
      <c r="C396" s="312"/>
      <c r="D396" s="312"/>
      <c r="E396" s="313"/>
    </row>
    <row r="397" spans="1:5" x14ac:dyDescent="0.2">
      <c r="A397" s="314" t="s">
        <v>161</v>
      </c>
      <c r="B397" s="315"/>
      <c r="C397" s="315"/>
      <c r="D397" s="315"/>
      <c r="E397" s="316"/>
    </row>
    <row r="398" spans="1:5" x14ac:dyDescent="0.2">
      <c r="A398" s="311" t="s">
        <v>162</v>
      </c>
      <c r="B398" s="312"/>
      <c r="C398" s="312"/>
      <c r="D398" s="312"/>
      <c r="E398" s="313"/>
    </row>
    <row r="399" spans="1:5" ht="12" thickBot="1" x14ac:dyDescent="0.25">
      <c r="A399" s="293"/>
      <c r="B399" s="294"/>
      <c r="C399" s="294"/>
      <c r="D399" s="294"/>
      <c r="E399" s="295"/>
    </row>
    <row r="400" spans="1:5" ht="12" thickBot="1" x14ac:dyDescent="0.25">
      <c r="A400" s="86" t="s">
        <v>163</v>
      </c>
      <c r="B400" s="296" t="s">
        <v>51</v>
      </c>
      <c r="C400" s="297"/>
      <c r="D400" s="297"/>
      <c r="E400" s="298"/>
    </row>
    <row r="401" spans="1:5" ht="12" thickBot="1" x14ac:dyDescent="0.25">
      <c r="A401" s="87" t="s">
        <v>164</v>
      </c>
      <c r="B401" s="299" t="str">
        <f>IF(ISBLANK(B400:E400),"",IF(ISERROR(VLOOKUP(B400:E400,BNOMINA,2,FALSE)),"EL DATO NO EXISTE",VLOOKUP(B400:E400,BNOMINA,2,FALSE)))</f>
        <v>Luz Enith Betancur</v>
      </c>
      <c r="C401" s="300"/>
      <c r="D401" s="300"/>
      <c r="E401" s="301"/>
    </row>
    <row r="402" spans="1:5" ht="12" thickBot="1" x14ac:dyDescent="0.25">
      <c r="A402" s="302"/>
      <c r="B402" s="303"/>
      <c r="C402" s="303"/>
      <c r="D402" s="303"/>
      <c r="E402" s="88"/>
    </row>
    <row r="403" spans="1:5" ht="12" thickBot="1" x14ac:dyDescent="0.25">
      <c r="A403" s="89" t="s">
        <v>165</v>
      </c>
      <c r="B403" s="90">
        <f>VLOOKUP(B400,BNOMINA,6,FALSE)</f>
        <v>1100000</v>
      </c>
      <c r="C403" s="91" t="s">
        <v>166</v>
      </c>
      <c r="D403" s="92">
        <f>VLOOKUP(B400,BNOMINA,21,FALSE)</f>
        <v>45600</v>
      </c>
      <c r="E403" s="93"/>
    </row>
    <row r="404" spans="1:5" ht="12" thickBot="1" x14ac:dyDescent="0.25">
      <c r="A404" s="94" t="s">
        <v>167</v>
      </c>
      <c r="B404" s="90">
        <f>VLOOKUP(B400,BNOMINA,15,FALSE)</f>
        <v>0</v>
      </c>
      <c r="C404" s="95" t="s">
        <v>168</v>
      </c>
      <c r="D404" s="92">
        <f>VLOOKUP(B400,BNOMINA,22,FALSE)</f>
        <v>45600</v>
      </c>
      <c r="E404" s="93"/>
    </row>
    <row r="405" spans="1:5" ht="12" thickBot="1" x14ac:dyDescent="0.25">
      <c r="A405" s="96" t="s">
        <v>169</v>
      </c>
      <c r="B405" s="90">
        <f>VLOOKUP(B400,BNOMINA,16,FALSE)</f>
        <v>88200</v>
      </c>
      <c r="C405" s="95" t="s">
        <v>170</v>
      </c>
      <c r="D405" s="92">
        <f>VLOOKUP(B400,BNOMINA,23,FALSE)</f>
        <v>0</v>
      </c>
      <c r="E405" s="93"/>
    </row>
    <row r="406" spans="1:5" ht="12" thickBot="1" x14ac:dyDescent="0.25">
      <c r="A406" s="94" t="s">
        <v>171</v>
      </c>
      <c r="B406" s="90">
        <f>VLOOKUP(B400,BNOMINA,17,FALSE)</f>
        <v>0</v>
      </c>
      <c r="C406" s="95" t="s">
        <v>172</v>
      </c>
      <c r="D406" s="92">
        <f>VLOOKUP(B400,BNOMINA,24,FALSE)</f>
        <v>110000</v>
      </c>
      <c r="E406" s="93"/>
    </row>
    <row r="407" spans="1:5" ht="12" thickBot="1" x14ac:dyDescent="0.25">
      <c r="A407" s="94" t="s">
        <v>173</v>
      </c>
      <c r="B407" s="90">
        <f>VLOOKUP(B400,BNOMINA,18,FALSE)</f>
        <v>40000</v>
      </c>
      <c r="C407" s="87" t="s">
        <v>174</v>
      </c>
      <c r="D407" s="92">
        <f>VLOOKUP(B400,BNOMINA,25,FALSE)</f>
        <v>22000</v>
      </c>
      <c r="E407" s="93"/>
    </row>
    <row r="408" spans="1:5" ht="12" thickBot="1" x14ac:dyDescent="0.25">
      <c r="A408" s="97"/>
      <c r="B408" s="98"/>
      <c r="C408" s="99"/>
      <c r="D408" s="99"/>
      <c r="E408" s="88"/>
    </row>
    <row r="409" spans="1:5" ht="12" thickBot="1" x14ac:dyDescent="0.25">
      <c r="A409" s="86" t="s">
        <v>175</v>
      </c>
      <c r="B409" s="90">
        <f>SUM(B403:B408)</f>
        <v>1228200</v>
      </c>
      <c r="C409" s="100" t="s">
        <v>176</v>
      </c>
      <c r="D409" s="304">
        <f>SUM(D403:D408)</f>
        <v>223200</v>
      </c>
      <c r="E409" s="305"/>
    </row>
    <row r="410" spans="1:5" x14ac:dyDescent="0.2">
      <c r="A410" s="97"/>
      <c r="B410" s="98"/>
      <c r="C410" s="98"/>
      <c r="D410" s="98"/>
      <c r="E410" s="88"/>
    </row>
    <row r="411" spans="1:5" ht="12" thickBot="1" x14ac:dyDescent="0.25">
      <c r="A411" s="101"/>
      <c r="B411" s="102"/>
      <c r="C411" s="102"/>
      <c r="D411" s="102"/>
      <c r="E411" s="103"/>
    </row>
    <row r="412" spans="1:5" ht="12" thickBot="1" x14ac:dyDescent="0.25">
      <c r="B412" s="105"/>
      <c r="C412" s="94" t="s">
        <v>177</v>
      </c>
      <c r="D412" s="306">
        <f>B409-D409</f>
        <v>1005000</v>
      </c>
      <c r="E412" s="307"/>
    </row>
    <row r="415" spans="1:5" ht="12" thickBot="1" x14ac:dyDescent="0.25"/>
    <row r="416" spans="1:5" x14ac:dyDescent="0.2">
      <c r="A416" s="308"/>
      <c r="B416" s="309"/>
      <c r="C416" s="309"/>
      <c r="D416" s="309"/>
      <c r="E416" s="310"/>
    </row>
    <row r="417" spans="1:5" x14ac:dyDescent="0.2">
      <c r="A417" s="311" t="s">
        <v>160</v>
      </c>
      <c r="B417" s="312"/>
      <c r="C417" s="312"/>
      <c r="D417" s="312"/>
      <c r="E417" s="313"/>
    </row>
    <row r="418" spans="1:5" x14ac:dyDescent="0.2">
      <c r="A418" s="314" t="s">
        <v>161</v>
      </c>
      <c r="B418" s="315"/>
      <c r="C418" s="315"/>
      <c r="D418" s="315"/>
      <c r="E418" s="316"/>
    </row>
    <row r="419" spans="1:5" x14ac:dyDescent="0.2">
      <c r="A419" s="311" t="s">
        <v>162</v>
      </c>
      <c r="B419" s="312"/>
      <c r="C419" s="312"/>
      <c r="D419" s="312"/>
      <c r="E419" s="313"/>
    </row>
    <row r="420" spans="1:5" ht="12" thickBot="1" x14ac:dyDescent="0.25">
      <c r="A420" s="293"/>
      <c r="B420" s="294"/>
      <c r="C420" s="294"/>
      <c r="D420" s="294"/>
      <c r="E420" s="295"/>
    </row>
    <row r="421" spans="1:5" ht="12" thickBot="1" x14ac:dyDescent="0.25">
      <c r="A421" s="86" t="s">
        <v>163</v>
      </c>
      <c r="B421" s="296" t="s">
        <v>53</v>
      </c>
      <c r="C421" s="297"/>
      <c r="D421" s="297"/>
      <c r="E421" s="298"/>
    </row>
    <row r="422" spans="1:5" ht="12" thickBot="1" x14ac:dyDescent="0.25">
      <c r="A422" s="87" t="s">
        <v>164</v>
      </c>
      <c r="B422" s="299" t="str">
        <f>IF(ISBLANK(B421:E421),"",IF(ISERROR(VLOOKUP(B421:E421,BNOMINA,2,FALSE)),"EL DATO NO EXISTE",VLOOKUP(B421:E421,BNOMINA,2,FALSE)))</f>
        <v>Maricela López</v>
      </c>
      <c r="C422" s="300"/>
      <c r="D422" s="300"/>
      <c r="E422" s="301"/>
    </row>
    <row r="423" spans="1:5" ht="12" thickBot="1" x14ac:dyDescent="0.25">
      <c r="A423" s="302"/>
      <c r="B423" s="303"/>
      <c r="C423" s="303"/>
      <c r="D423" s="303"/>
      <c r="E423" s="88"/>
    </row>
    <row r="424" spans="1:5" ht="12" thickBot="1" x14ac:dyDescent="0.25">
      <c r="A424" s="89" t="s">
        <v>165</v>
      </c>
      <c r="B424" s="90">
        <f>VLOOKUP(B421,BNOMINA,6,FALSE)</f>
        <v>781242</v>
      </c>
      <c r="C424" s="91" t="s">
        <v>166</v>
      </c>
      <c r="D424" s="92">
        <f>VLOOKUP(B421,BNOMINA,21,FALSE)</f>
        <v>33918.923500000004</v>
      </c>
      <c r="E424" s="93"/>
    </row>
    <row r="425" spans="1:5" ht="12" thickBot="1" x14ac:dyDescent="0.25">
      <c r="A425" s="94" t="s">
        <v>167</v>
      </c>
      <c r="B425" s="90">
        <f>VLOOKUP(B421,BNOMINA,15,FALSE)</f>
        <v>66731.087500000009</v>
      </c>
      <c r="C425" s="95" t="s">
        <v>168</v>
      </c>
      <c r="D425" s="92">
        <f>VLOOKUP(B421,BNOMINA,22,FALSE)</f>
        <v>33918.923500000004</v>
      </c>
      <c r="E425" s="93"/>
    </row>
    <row r="426" spans="1:5" ht="12" thickBot="1" x14ac:dyDescent="0.25">
      <c r="A426" s="96" t="s">
        <v>169</v>
      </c>
      <c r="B426" s="90">
        <f>VLOOKUP(B421,BNOMINA,16,FALSE)</f>
        <v>88200</v>
      </c>
      <c r="C426" s="95" t="s">
        <v>170</v>
      </c>
      <c r="D426" s="92">
        <f>VLOOKUP(B421,BNOMINA,23,FALSE)</f>
        <v>0</v>
      </c>
      <c r="E426" s="93"/>
    </row>
    <row r="427" spans="1:5" ht="12" thickBot="1" x14ac:dyDescent="0.25">
      <c r="A427" s="94" t="s">
        <v>171</v>
      </c>
      <c r="B427" s="90">
        <f>VLOOKUP(B421,BNOMINA,17,FALSE)</f>
        <v>0</v>
      </c>
      <c r="C427" s="95" t="s">
        <v>172</v>
      </c>
      <c r="D427" s="92">
        <f>VLOOKUP(B421,BNOMINA,24,FALSE)</f>
        <v>31249.68</v>
      </c>
      <c r="E427" s="93"/>
    </row>
    <row r="428" spans="1:5" ht="12" thickBot="1" x14ac:dyDescent="0.25">
      <c r="A428" s="94" t="s">
        <v>173</v>
      </c>
      <c r="B428" s="90">
        <f>VLOOKUP(B421,BNOMINA,18,FALSE)</f>
        <v>0</v>
      </c>
      <c r="C428" s="87" t="s">
        <v>174</v>
      </c>
      <c r="D428" s="92">
        <f>VLOOKUP(B421,BNOMINA,25,FALSE)</f>
        <v>3906.21</v>
      </c>
      <c r="E428" s="93"/>
    </row>
    <row r="429" spans="1:5" ht="12" thickBot="1" x14ac:dyDescent="0.25">
      <c r="A429" s="97"/>
      <c r="B429" s="98"/>
      <c r="C429" s="99"/>
      <c r="D429" s="99"/>
      <c r="E429" s="88"/>
    </row>
    <row r="430" spans="1:5" ht="12" thickBot="1" x14ac:dyDescent="0.25">
      <c r="A430" s="86" t="s">
        <v>175</v>
      </c>
      <c r="B430" s="90">
        <f>SUM(B424:B429)</f>
        <v>936173.08750000002</v>
      </c>
      <c r="C430" s="100" t="s">
        <v>176</v>
      </c>
      <c r="D430" s="304">
        <f>SUM(D424:D429)</f>
        <v>102993.73700000001</v>
      </c>
      <c r="E430" s="305"/>
    </row>
    <row r="431" spans="1:5" x14ac:dyDescent="0.2">
      <c r="A431" s="97"/>
      <c r="B431" s="98"/>
      <c r="C431" s="98"/>
      <c r="D431" s="98"/>
      <c r="E431" s="88"/>
    </row>
    <row r="432" spans="1:5" ht="12" thickBot="1" x14ac:dyDescent="0.25">
      <c r="A432" s="101"/>
      <c r="B432" s="102"/>
      <c r="C432" s="102"/>
      <c r="D432" s="102"/>
      <c r="E432" s="103"/>
    </row>
    <row r="433" spans="1:5" ht="12" thickBot="1" x14ac:dyDescent="0.25">
      <c r="B433" s="105"/>
      <c r="C433" s="94" t="s">
        <v>177</v>
      </c>
      <c r="D433" s="306">
        <f>B430-D430</f>
        <v>833179.35050000006</v>
      </c>
      <c r="E433" s="307"/>
    </row>
    <row r="435" spans="1:5" ht="12" thickBot="1" x14ac:dyDescent="0.25"/>
    <row r="436" spans="1:5" x14ac:dyDescent="0.2">
      <c r="A436" s="308"/>
      <c r="B436" s="309"/>
      <c r="C436" s="309"/>
      <c r="D436" s="309"/>
      <c r="E436" s="310"/>
    </row>
    <row r="437" spans="1:5" x14ac:dyDescent="0.2">
      <c r="A437" s="311" t="s">
        <v>160</v>
      </c>
      <c r="B437" s="312"/>
      <c r="C437" s="312"/>
      <c r="D437" s="312"/>
      <c r="E437" s="313"/>
    </row>
    <row r="438" spans="1:5" x14ac:dyDescent="0.2">
      <c r="A438" s="314" t="s">
        <v>161</v>
      </c>
      <c r="B438" s="315"/>
      <c r="C438" s="315"/>
      <c r="D438" s="315"/>
      <c r="E438" s="316"/>
    </row>
    <row r="439" spans="1:5" x14ac:dyDescent="0.2">
      <c r="A439" s="311" t="s">
        <v>162</v>
      </c>
      <c r="B439" s="312"/>
      <c r="C439" s="312"/>
      <c r="D439" s="312"/>
      <c r="E439" s="313"/>
    </row>
    <row r="440" spans="1:5" ht="12" thickBot="1" x14ac:dyDescent="0.25">
      <c r="A440" s="293"/>
      <c r="B440" s="294"/>
      <c r="C440" s="294"/>
      <c r="D440" s="294"/>
      <c r="E440" s="295"/>
    </row>
    <row r="441" spans="1:5" ht="12" thickBot="1" x14ac:dyDescent="0.25">
      <c r="A441" s="86" t="s">
        <v>163</v>
      </c>
      <c r="B441" s="296" t="s">
        <v>55</v>
      </c>
      <c r="C441" s="297"/>
      <c r="D441" s="297"/>
      <c r="E441" s="298"/>
    </row>
    <row r="442" spans="1:5" ht="12" thickBot="1" x14ac:dyDescent="0.25">
      <c r="A442" s="87" t="s">
        <v>164</v>
      </c>
      <c r="B442" s="299" t="str">
        <f>IF(ISBLANK(B441:E441),"",IF(ISERROR(VLOOKUP(B441:E441,BNOMINA,2,FALSE)),"EL DATO NO EXISTE",VLOOKUP(B441:E441,BNOMINA,2,FALSE)))</f>
        <v>Martha Deisy Ceballos</v>
      </c>
      <c r="C442" s="300"/>
      <c r="D442" s="300"/>
      <c r="E442" s="301"/>
    </row>
    <row r="443" spans="1:5" ht="12" thickBot="1" x14ac:dyDescent="0.25">
      <c r="A443" s="302"/>
      <c r="B443" s="303"/>
      <c r="C443" s="303"/>
      <c r="D443" s="303"/>
      <c r="E443" s="88"/>
    </row>
    <row r="444" spans="1:5" ht="12" thickBot="1" x14ac:dyDescent="0.25">
      <c r="A444" s="89" t="s">
        <v>165</v>
      </c>
      <c r="B444" s="90">
        <f>VLOOKUP(B441,BNOMINA,6,FALSE)</f>
        <v>900000</v>
      </c>
      <c r="C444" s="91" t="s">
        <v>166</v>
      </c>
      <c r="D444" s="92">
        <f>VLOOKUP(B441,BNOMINA,21,FALSE)</f>
        <v>37600</v>
      </c>
      <c r="E444" s="93"/>
    </row>
    <row r="445" spans="1:5" ht="12" thickBot="1" x14ac:dyDescent="0.25">
      <c r="A445" s="94" t="s">
        <v>167</v>
      </c>
      <c r="B445" s="90">
        <f>VLOOKUP(B441,BNOMINA,15,FALSE)</f>
        <v>0</v>
      </c>
      <c r="C445" s="95" t="s">
        <v>168</v>
      </c>
      <c r="D445" s="92">
        <f>VLOOKUP(B441,BNOMINA,22,FALSE)</f>
        <v>37600</v>
      </c>
      <c r="E445" s="93"/>
    </row>
    <row r="446" spans="1:5" ht="12" thickBot="1" x14ac:dyDescent="0.25">
      <c r="A446" s="96" t="s">
        <v>169</v>
      </c>
      <c r="B446" s="90">
        <f>VLOOKUP(B441,BNOMINA,16,FALSE)</f>
        <v>88200</v>
      </c>
      <c r="C446" s="95" t="s">
        <v>170</v>
      </c>
      <c r="D446" s="92">
        <f>VLOOKUP(B441,BNOMINA,23,FALSE)</f>
        <v>0</v>
      </c>
      <c r="E446" s="93"/>
    </row>
    <row r="447" spans="1:5" ht="12" thickBot="1" x14ac:dyDescent="0.25">
      <c r="A447" s="94" t="s">
        <v>171</v>
      </c>
      <c r="B447" s="90">
        <f>VLOOKUP(B441,BNOMINA,17,FALSE)</f>
        <v>0</v>
      </c>
      <c r="C447" s="95" t="s">
        <v>172</v>
      </c>
      <c r="D447" s="92">
        <f>VLOOKUP(B441,BNOMINA,24,FALSE)</f>
        <v>63000.000000000007</v>
      </c>
      <c r="E447" s="93"/>
    </row>
    <row r="448" spans="1:5" ht="12" thickBot="1" x14ac:dyDescent="0.25">
      <c r="A448" s="94" t="s">
        <v>173</v>
      </c>
      <c r="B448" s="90">
        <f>VLOOKUP(B441,BNOMINA,18,FALSE)</f>
        <v>40000</v>
      </c>
      <c r="C448" s="87" t="s">
        <v>174</v>
      </c>
      <c r="D448" s="92">
        <f>VLOOKUP(B441,BNOMINA,25,FALSE)</f>
        <v>18000</v>
      </c>
      <c r="E448" s="93"/>
    </row>
    <row r="449" spans="1:5" ht="12" thickBot="1" x14ac:dyDescent="0.25">
      <c r="A449" s="97"/>
      <c r="B449" s="98"/>
      <c r="C449" s="99"/>
      <c r="D449" s="99"/>
      <c r="E449" s="88"/>
    </row>
    <row r="450" spans="1:5" ht="12" thickBot="1" x14ac:dyDescent="0.25">
      <c r="A450" s="86" t="s">
        <v>175</v>
      </c>
      <c r="B450" s="90">
        <f>SUM(B444:B449)</f>
        <v>1028200</v>
      </c>
      <c r="C450" s="100" t="s">
        <v>176</v>
      </c>
      <c r="D450" s="304">
        <f>SUM(D444:D449)</f>
        <v>156200</v>
      </c>
      <c r="E450" s="305"/>
    </row>
    <row r="451" spans="1:5" x14ac:dyDescent="0.2">
      <c r="A451" s="97"/>
      <c r="B451" s="98"/>
      <c r="C451" s="98"/>
      <c r="D451" s="98"/>
      <c r="E451" s="88"/>
    </row>
    <row r="452" spans="1:5" ht="12" thickBot="1" x14ac:dyDescent="0.25">
      <c r="A452" s="101"/>
      <c r="B452" s="102"/>
      <c r="C452" s="102"/>
      <c r="D452" s="102"/>
      <c r="E452" s="103"/>
    </row>
    <row r="453" spans="1:5" ht="12" thickBot="1" x14ac:dyDescent="0.25">
      <c r="B453" s="105"/>
      <c r="C453" s="94" t="s">
        <v>177</v>
      </c>
      <c r="D453" s="306">
        <f>B450-D450</f>
        <v>872000</v>
      </c>
      <c r="E453" s="307"/>
    </row>
    <row r="456" spans="1:5" ht="12" thickBot="1" x14ac:dyDescent="0.25"/>
    <row r="457" spans="1:5" x14ac:dyDescent="0.2">
      <c r="A457" s="308"/>
      <c r="B457" s="309"/>
      <c r="C457" s="309"/>
      <c r="D457" s="309"/>
      <c r="E457" s="310"/>
    </row>
    <row r="458" spans="1:5" x14ac:dyDescent="0.2">
      <c r="A458" s="311" t="s">
        <v>160</v>
      </c>
      <c r="B458" s="312"/>
      <c r="C458" s="312"/>
      <c r="D458" s="312"/>
      <c r="E458" s="313"/>
    </row>
    <row r="459" spans="1:5" x14ac:dyDescent="0.2">
      <c r="A459" s="314" t="s">
        <v>161</v>
      </c>
      <c r="B459" s="315"/>
      <c r="C459" s="315"/>
      <c r="D459" s="315"/>
      <c r="E459" s="316"/>
    </row>
    <row r="460" spans="1:5" x14ac:dyDescent="0.2">
      <c r="A460" s="311" t="s">
        <v>162</v>
      </c>
      <c r="B460" s="312"/>
      <c r="C460" s="312"/>
      <c r="D460" s="312"/>
      <c r="E460" s="313"/>
    </row>
    <row r="461" spans="1:5" ht="12" thickBot="1" x14ac:dyDescent="0.25">
      <c r="A461" s="293"/>
      <c r="B461" s="294"/>
      <c r="C461" s="294"/>
      <c r="D461" s="294"/>
      <c r="E461" s="295"/>
    </row>
    <row r="462" spans="1:5" ht="12" thickBot="1" x14ac:dyDescent="0.25">
      <c r="A462" s="86" t="s">
        <v>163</v>
      </c>
      <c r="B462" s="296" t="s">
        <v>58</v>
      </c>
      <c r="C462" s="297"/>
      <c r="D462" s="297"/>
      <c r="E462" s="298"/>
    </row>
    <row r="463" spans="1:5" ht="12" thickBot="1" x14ac:dyDescent="0.25">
      <c r="A463" s="87" t="s">
        <v>164</v>
      </c>
      <c r="B463" s="299" t="str">
        <f>IF(ISBLANK(B462:E462),"",IF(ISERROR(VLOOKUP(B462:E462,BNOMINA,2,FALSE)),"EL DATO NO EXISTE",VLOOKUP(B462:E462,BNOMINA,2,FALSE)))</f>
        <v>Mauricio Alzate</v>
      </c>
      <c r="C463" s="300"/>
      <c r="D463" s="300"/>
      <c r="E463" s="301"/>
    </row>
    <row r="464" spans="1:5" ht="12" thickBot="1" x14ac:dyDescent="0.25">
      <c r="A464" s="302"/>
      <c r="B464" s="303"/>
      <c r="C464" s="303"/>
      <c r="D464" s="303"/>
      <c r="E464" s="88"/>
    </row>
    <row r="465" spans="1:5" ht="12" thickBot="1" x14ac:dyDescent="0.25">
      <c r="A465" s="89" t="s">
        <v>165</v>
      </c>
      <c r="B465" s="90">
        <f>VLOOKUP(B462,BNOMINA,6,FALSE)</f>
        <v>781242</v>
      </c>
      <c r="C465" s="91" t="s">
        <v>166</v>
      </c>
      <c r="D465" s="92">
        <f>VLOOKUP(B462,BNOMINA,21,FALSE)</f>
        <v>33918.923500000004</v>
      </c>
      <c r="E465" s="93"/>
    </row>
    <row r="466" spans="1:5" ht="12" thickBot="1" x14ac:dyDescent="0.25">
      <c r="A466" s="94" t="s">
        <v>167</v>
      </c>
      <c r="B466" s="90">
        <f>VLOOKUP(B462,BNOMINA,15,FALSE)</f>
        <v>66731.087500000009</v>
      </c>
      <c r="C466" s="95" t="s">
        <v>168</v>
      </c>
      <c r="D466" s="92">
        <f>VLOOKUP(B462,BNOMINA,22,FALSE)</f>
        <v>33918.923500000004</v>
      </c>
      <c r="E466" s="93"/>
    </row>
    <row r="467" spans="1:5" ht="12" thickBot="1" x14ac:dyDescent="0.25">
      <c r="A467" s="96" t="s">
        <v>169</v>
      </c>
      <c r="B467" s="90">
        <f>VLOOKUP(B462,BNOMINA,16,FALSE)</f>
        <v>88200</v>
      </c>
      <c r="C467" s="95" t="s">
        <v>170</v>
      </c>
      <c r="D467" s="92">
        <f>VLOOKUP(B462,BNOMINA,23,FALSE)</f>
        <v>0</v>
      </c>
      <c r="E467" s="93"/>
    </row>
    <row r="468" spans="1:5" ht="12" thickBot="1" x14ac:dyDescent="0.25">
      <c r="A468" s="94" t="s">
        <v>171</v>
      </c>
      <c r="B468" s="90">
        <f>VLOOKUP(B462,BNOMINA,17,FALSE)</f>
        <v>0</v>
      </c>
      <c r="C468" s="95" t="s">
        <v>172</v>
      </c>
      <c r="D468" s="92">
        <f>VLOOKUP(B462,BNOMINA,24,FALSE)</f>
        <v>31249.68</v>
      </c>
      <c r="E468" s="93"/>
    </row>
    <row r="469" spans="1:5" ht="12" thickBot="1" x14ac:dyDescent="0.25">
      <c r="A469" s="94" t="s">
        <v>173</v>
      </c>
      <c r="B469" s="90">
        <f>VLOOKUP(B462,BNOMINA,18,FALSE)</f>
        <v>0</v>
      </c>
      <c r="C469" s="87" t="s">
        <v>174</v>
      </c>
      <c r="D469" s="92">
        <f>VLOOKUP(B462,BNOMINA,25,FALSE)</f>
        <v>3906.21</v>
      </c>
      <c r="E469" s="93"/>
    </row>
    <row r="470" spans="1:5" ht="12" thickBot="1" x14ac:dyDescent="0.25">
      <c r="A470" s="97"/>
      <c r="B470" s="98"/>
      <c r="C470" s="99"/>
      <c r="D470" s="99"/>
      <c r="E470" s="88"/>
    </row>
    <row r="471" spans="1:5" ht="12" thickBot="1" x14ac:dyDescent="0.25">
      <c r="A471" s="86" t="s">
        <v>175</v>
      </c>
      <c r="B471" s="90">
        <f>SUM(B465:B470)</f>
        <v>936173.08750000002</v>
      </c>
      <c r="C471" s="100" t="s">
        <v>176</v>
      </c>
      <c r="D471" s="304">
        <f>SUM(D465:D470)</f>
        <v>102993.73700000001</v>
      </c>
      <c r="E471" s="305"/>
    </row>
    <row r="472" spans="1:5" x14ac:dyDescent="0.2">
      <c r="A472" s="97"/>
      <c r="B472" s="98"/>
      <c r="C472" s="98"/>
      <c r="D472" s="98"/>
      <c r="E472" s="88"/>
    </row>
    <row r="473" spans="1:5" ht="12" thickBot="1" x14ac:dyDescent="0.25">
      <c r="A473" s="101"/>
      <c r="B473" s="102"/>
      <c r="C473" s="102"/>
      <c r="D473" s="102"/>
      <c r="E473" s="103"/>
    </row>
    <row r="474" spans="1:5" ht="12" thickBot="1" x14ac:dyDescent="0.25">
      <c r="B474" s="105"/>
      <c r="C474" s="94" t="s">
        <v>177</v>
      </c>
      <c r="D474" s="306">
        <f>B471-D471</f>
        <v>833179.35050000006</v>
      </c>
      <c r="E474" s="307"/>
    </row>
    <row r="477" spans="1:5" ht="12" thickBot="1" x14ac:dyDescent="0.25"/>
    <row r="478" spans="1:5" x14ac:dyDescent="0.2">
      <c r="A478" s="308"/>
      <c r="B478" s="309"/>
      <c r="C478" s="309"/>
      <c r="D478" s="309"/>
      <c r="E478" s="310"/>
    </row>
    <row r="479" spans="1:5" x14ac:dyDescent="0.2">
      <c r="A479" s="311" t="s">
        <v>160</v>
      </c>
      <c r="B479" s="312"/>
      <c r="C479" s="312"/>
      <c r="D479" s="312"/>
      <c r="E479" s="313"/>
    </row>
    <row r="480" spans="1:5" x14ac:dyDescent="0.2">
      <c r="A480" s="314" t="s">
        <v>161</v>
      </c>
      <c r="B480" s="315"/>
      <c r="C480" s="315"/>
      <c r="D480" s="315"/>
      <c r="E480" s="316"/>
    </row>
    <row r="481" spans="1:5" x14ac:dyDescent="0.2">
      <c r="A481" s="311" t="s">
        <v>162</v>
      </c>
      <c r="B481" s="312"/>
      <c r="C481" s="312"/>
      <c r="D481" s="312"/>
      <c r="E481" s="313"/>
    </row>
    <row r="482" spans="1:5" ht="12" thickBot="1" x14ac:dyDescent="0.25">
      <c r="A482" s="293"/>
      <c r="B482" s="294"/>
      <c r="C482" s="294"/>
      <c r="D482" s="294"/>
      <c r="E482" s="295"/>
    </row>
    <row r="483" spans="1:5" ht="12" thickBot="1" x14ac:dyDescent="0.25">
      <c r="A483" s="86" t="s">
        <v>163</v>
      </c>
      <c r="B483" s="296" t="s">
        <v>60</v>
      </c>
      <c r="C483" s="297"/>
      <c r="D483" s="297"/>
      <c r="E483" s="298"/>
    </row>
    <row r="484" spans="1:5" ht="12" thickBot="1" x14ac:dyDescent="0.25">
      <c r="A484" s="87" t="s">
        <v>164</v>
      </c>
      <c r="B484" s="299" t="str">
        <f>IF(ISBLANK(B483:E483),"",IF(ISERROR(VLOOKUP(B483:E483,BNOMINA,2,FALSE)),"EL DATO NO EXISTE",VLOOKUP(B483:E483,BNOMINA,2,FALSE)))</f>
        <v>Mónica Yurany Giraldo</v>
      </c>
      <c r="C484" s="300"/>
      <c r="D484" s="300"/>
      <c r="E484" s="301"/>
    </row>
    <row r="485" spans="1:5" ht="12" thickBot="1" x14ac:dyDescent="0.25">
      <c r="A485" s="302"/>
      <c r="B485" s="303"/>
      <c r="C485" s="303"/>
      <c r="D485" s="303"/>
      <c r="E485" s="88"/>
    </row>
    <row r="486" spans="1:5" ht="12" thickBot="1" x14ac:dyDescent="0.25">
      <c r="A486" s="89" t="s">
        <v>165</v>
      </c>
      <c r="B486" s="90">
        <f>VLOOKUP(B483,BNOMINA,6,FALSE)</f>
        <v>950000</v>
      </c>
      <c r="C486" s="91" t="s">
        <v>166</v>
      </c>
      <c r="D486" s="92">
        <f>VLOOKUP(B483,BNOMINA,21,FALSE)</f>
        <v>39600</v>
      </c>
      <c r="E486" s="93"/>
    </row>
    <row r="487" spans="1:5" ht="12" thickBot="1" x14ac:dyDescent="0.25">
      <c r="A487" s="94" t="s">
        <v>167</v>
      </c>
      <c r="B487" s="90">
        <f>VLOOKUP(B483,BNOMINA,15,FALSE)</f>
        <v>0</v>
      </c>
      <c r="C487" s="95" t="s">
        <v>168</v>
      </c>
      <c r="D487" s="92">
        <f>VLOOKUP(B483,BNOMINA,22,FALSE)</f>
        <v>39600</v>
      </c>
      <c r="E487" s="93"/>
    </row>
    <row r="488" spans="1:5" ht="12" thickBot="1" x14ac:dyDescent="0.25">
      <c r="A488" s="96" t="s">
        <v>169</v>
      </c>
      <c r="B488" s="90">
        <f>VLOOKUP(B483,BNOMINA,16,FALSE)</f>
        <v>88200</v>
      </c>
      <c r="C488" s="95" t="s">
        <v>170</v>
      </c>
      <c r="D488" s="92">
        <f>VLOOKUP(B483,BNOMINA,23,FALSE)</f>
        <v>0</v>
      </c>
      <c r="E488" s="93"/>
    </row>
    <row r="489" spans="1:5" ht="12" thickBot="1" x14ac:dyDescent="0.25">
      <c r="A489" s="94" t="s">
        <v>171</v>
      </c>
      <c r="B489" s="90">
        <f>VLOOKUP(B483,BNOMINA,17,FALSE)</f>
        <v>0</v>
      </c>
      <c r="C489" s="95" t="s">
        <v>172</v>
      </c>
      <c r="D489" s="92">
        <f>VLOOKUP(B483,BNOMINA,24,FALSE)</f>
        <v>66500</v>
      </c>
      <c r="E489" s="93"/>
    </row>
    <row r="490" spans="1:5" ht="12" thickBot="1" x14ac:dyDescent="0.25">
      <c r="A490" s="94" t="s">
        <v>173</v>
      </c>
      <c r="B490" s="90">
        <f>VLOOKUP(B483,BNOMINA,18,FALSE)</f>
        <v>40000</v>
      </c>
      <c r="C490" s="87" t="s">
        <v>174</v>
      </c>
      <c r="D490" s="92">
        <f>VLOOKUP(B483,BNOMINA,25,FALSE)</f>
        <v>19000</v>
      </c>
      <c r="E490" s="93"/>
    </row>
    <row r="491" spans="1:5" ht="12" thickBot="1" x14ac:dyDescent="0.25">
      <c r="A491" s="97"/>
      <c r="B491" s="98"/>
      <c r="C491" s="99"/>
      <c r="D491" s="99"/>
      <c r="E491" s="88"/>
    </row>
    <row r="492" spans="1:5" ht="12" thickBot="1" x14ac:dyDescent="0.25">
      <c r="A492" s="86" t="s">
        <v>175</v>
      </c>
      <c r="B492" s="90">
        <f>SUM(B486:B491)</f>
        <v>1078200</v>
      </c>
      <c r="C492" s="100" t="s">
        <v>176</v>
      </c>
      <c r="D492" s="304">
        <f>SUM(D486:D491)</f>
        <v>164700</v>
      </c>
      <c r="E492" s="305"/>
    </row>
    <row r="493" spans="1:5" x14ac:dyDescent="0.2">
      <c r="A493" s="97"/>
      <c r="B493" s="98"/>
      <c r="C493" s="98"/>
      <c r="D493" s="98"/>
      <c r="E493" s="88"/>
    </row>
    <row r="494" spans="1:5" ht="12" thickBot="1" x14ac:dyDescent="0.25">
      <c r="A494" s="101"/>
      <c r="B494" s="102"/>
      <c r="C494" s="102"/>
      <c r="D494" s="102"/>
      <c r="E494" s="103"/>
    </row>
    <row r="495" spans="1:5" ht="12" thickBot="1" x14ac:dyDescent="0.25">
      <c r="B495" s="105"/>
      <c r="C495" s="94" t="s">
        <v>177</v>
      </c>
      <c r="D495" s="306">
        <f>B492-D492</f>
        <v>913500</v>
      </c>
      <c r="E495" s="307"/>
    </row>
    <row r="498" spans="1:5" ht="12" thickBot="1" x14ac:dyDescent="0.25"/>
    <row r="499" spans="1:5" x14ac:dyDescent="0.2">
      <c r="A499" s="308"/>
      <c r="B499" s="309"/>
      <c r="C499" s="309"/>
      <c r="D499" s="309"/>
      <c r="E499" s="310"/>
    </row>
    <row r="500" spans="1:5" x14ac:dyDescent="0.2">
      <c r="A500" s="311" t="s">
        <v>160</v>
      </c>
      <c r="B500" s="312"/>
      <c r="C500" s="312"/>
      <c r="D500" s="312"/>
      <c r="E500" s="313"/>
    </row>
    <row r="501" spans="1:5" x14ac:dyDescent="0.2">
      <c r="A501" s="314" t="s">
        <v>161</v>
      </c>
      <c r="B501" s="315"/>
      <c r="C501" s="315"/>
      <c r="D501" s="315"/>
      <c r="E501" s="316"/>
    </row>
    <row r="502" spans="1:5" x14ac:dyDescent="0.2">
      <c r="A502" s="311" t="s">
        <v>162</v>
      </c>
      <c r="B502" s="312"/>
      <c r="C502" s="312"/>
      <c r="D502" s="312"/>
      <c r="E502" s="313"/>
    </row>
    <row r="503" spans="1:5" ht="12" thickBot="1" x14ac:dyDescent="0.25">
      <c r="A503" s="293"/>
      <c r="B503" s="294"/>
      <c r="C503" s="294"/>
      <c r="D503" s="294"/>
      <c r="E503" s="295"/>
    </row>
    <row r="504" spans="1:5" ht="12" thickBot="1" x14ac:dyDescent="0.25">
      <c r="A504" s="86" t="s">
        <v>163</v>
      </c>
      <c r="B504" s="296" t="s">
        <v>62</v>
      </c>
      <c r="C504" s="297"/>
      <c r="D504" s="297"/>
      <c r="E504" s="298"/>
    </row>
    <row r="505" spans="1:5" ht="12" thickBot="1" x14ac:dyDescent="0.25">
      <c r="A505" s="87" t="s">
        <v>164</v>
      </c>
      <c r="B505" s="299" t="str">
        <f>IF(ISBLANK(B504:E504),"",IF(ISERROR(VLOOKUP(B504:E504,BNOMINA,2,FALSE)),"EL DATO NO EXISTE",VLOOKUP(B504:E504,BNOMINA,2,FALSE)))</f>
        <v>Nayibet Galvis</v>
      </c>
      <c r="C505" s="300"/>
      <c r="D505" s="300"/>
      <c r="E505" s="301"/>
    </row>
    <row r="506" spans="1:5" ht="12" thickBot="1" x14ac:dyDescent="0.25">
      <c r="A506" s="302"/>
      <c r="B506" s="303"/>
      <c r="C506" s="303"/>
      <c r="D506" s="303"/>
      <c r="E506" s="88"/>
    </row>
    <row r="507" spans="1:5" ht="12" thickBot="1" x14ac:dyDescent="0.25">
      <c r="A507" s="89" t="s">
        <v>165</v>
      </c>
      <c r="B507" s="90">
        <f>VLOOKUP(B504,BNOMINA,6,FALSE)</f>
        <v>781242</v>
      </c>
      <c r="C507" s="91" t="s">
        <v>166</v>
      </c>
      <c r="D507" s="92">
        <f>VLOOKUP(B504,BNOMINA,21,FALSE)</f>
        <v>33918.923500000004</v>
      </c>
      <c r="E507" s="93"/>
    </row>
    <row r="508" spans="1:5" ht="12" thickBot="1" x14ac:dyDescent="0.25">
      <c r="A508" s="94" t="s">
        <v>167</v>
      </c>
      <c r="B508" s="90">
        <f>VLOOKUP(B504,BNOMINA,15,FALSE)</f>
        <v>66731.087500000009</v>
      </c>
      <c r="C508" s="95" t="s">
        <v>168</v>
      </c>
      <c r="D508" s="92">
        <f>VLOOKUP(B504,BNOMINA,22,FALSE)</f>
        <v>33918.923500000004</v>
      </c>
      <c r="E508" s="93"/>
    </row>
    <row r="509" spans="1:5" ht="12" thickBot="1" x14ac:dyDescent="0.25">
      <c r="A509" s="96" t="s">
        <v>169</v>
      </c>
      <c r="B509" s="90">
        <f>VLOOKUP(B504,BNOMINA,16,FALSE)</f>
        <v>88200</v>
      </c>
      <c r="C509" s="95" t="s">
        <v>170</v>
      </c>
      <c r="D509" s="92">
        <f>VLOOKUP(B504,BNOMINA,23,FALSE)</f>
        <v>0</v>
      </c>
      <c r="E509" s="93"/>
    </row>
    <row r="510" spans="1:5" ht="12" thickBot="1" x14ac:dyDescent="0.25">
      <c r="A510" s="94" t="s">
        <v>171</v>
      </c>
      <c r="B510" s="90">
        <f>VLOOKUP(B504,BNOMINA,17,FALSE)</f>
        <v>0</v>
      </c>
      <c r="C510" s="95" t="s">
        <v>172</v>
      </c>
      <c r="D510" s="92">
        <f>VLOOKUP(B504,BNOMINA,24,FALSE)</f>
        <v>31249.68</v>
      </c>
      <c r="E510" s="93"/>
    </row>
    <row r="511" spans="1:5" ht="12" thickBot="1" x14ac:dyDescent="0.25">
      <c r="A511" s="94" t="s">
        <v>173</v>
      </c>
      <c r="B511" s="90">
        <f>VLOOKUP(B504,BNOMINA,18,FALSE)</f>
        <v>0</v>
      </c>
      <c r="C511" s="87" t="s">
        <v>174</v>
      </c>
      <c r="D511" s="92">
        <f>VLOOKUP(B504,BNOMINA,25,FALSE)</f>
        <v>3906.21</v>
      </c>
      <c r="E511" s="93"/>
    </row>
    <row r="512" spans="1:5" ht="12" thickBot="1" x14ac:dyDescent="0.25">
      <c r="A512" s="97"/>
      <c r="B512" s="98"/>
      <c r="C512" s="99"/>
      <c r="D512" s="99"/>
      <c r="E512" s="88"/>
    </row>
    <row r="513" spans="1:5" ht="12" thickBot="1" x14ac:dyDescent="0.25">
      <c r="A513" s="86" t="s">
        <v>175</v>
      </c>
      <c r="B513" s="90">
        <f>SUM(B507:B512)</f>
        <v>936173.08750000002</v>
      </c>
      <c r="C513" s="100" t="s">
        <v>176</v>
      </c>
      <c r="D513" s="304">
        <f>SUM(D507:D512)</f>
        <v>102993.73700000001</v>
      </c>
      <c r="E513" s="305"/>
    </row>
    <row r="514" spans="1:5" x14ac:dyDescent="0.2">
      <c r="A514" s="97"/>
      <c r="B514" s="98"/>
      <c r="C514" s="98"/>
      <c r="D514" s="98"/>
      <c r="E514" s="88"/>
    </row>
    <row r="515" spans="1:5" ht="12" thickBot="1" x14ac:dyDescent="0.25">
      <c r="A515" s="101"/>
      <c r="B515" s="102"/>
      <c r="C515" s="102"/>
      <c r="D515" s="102"/>
      <c r="E515" s="103"/>
    </row>
    <row r="516" spans="1:5" ht="12" thickBot="1" x14ac:dyDescent="0.25">
      <c r="B516" s="105"/>
      <c r="C516" s="94" t="s">
        <v>177</v>
      </c>
      <c r="D516" s="306">
        <f>B513-D513</f>
        <v>833179.35050000006</v>
      </c>
      <c r="E516" s="307"/>
    </row>
    <row r="518" spans="1:5" ht="12" thickBot="1" x14ac:dyDescent="0.25"/>
    <row r="519" spans="1:5" x14ac:dyDescent="0.2">
      <c r="A519" s="308"/>
      <c r="B519" s="309"/>
      <c r="C519" s="309"/>
      <c r="D519" s="309"/>
      <c r="E519" s="310"/>
    </row>
    <row r="520" spans="1:5" x14ac:dyDescent="0.2">
      <c r="A520" s="311" t="s">
        <v>160</v>
      </c>
      <c r="B520" s="312"/>
      <c r="C520" s="312"/>
      <c r="D520" s="312"/>
      <c r="E520" s="313"/>
    </row>
    <row r="521" spans="1:5" x14ac:dyDescent="0.2">
      <c r="A521" s="314" t="s">
        <v>161</v>
      </c>
      <c r="B521" s="315"/>
      <c r="C521" s="315"/>
      <c r="D521" s="315"/>
      <c r="E521" s="316"/>
    </row>
    <row r="522" spans="1:5" x14ac:dyDescent="0.2">
      <c r="A522" s="311" t="s">
        <v>162</v>
      </c>
      <c r="B522" s="312"/>
      <c r="C522" s="312"/>
      <c r="D522" s="312"/>
      <c r="E522" s="313"/>
    </row>
    <row r="523" spans="1:5" ht="12" thickBot="1" x14ac:dyDescent="0.25">
      <c r="A523" s="293"/>
      <c r="B523" s="294"/>
      <c r="C523" s="294"/>
      <c r="D523" s="294"/>
      <c r="E523" s="295"/>
    </row>
    <row r="524" spans="1:5" ht="12" thickBot="1" x14ac:dyDescent="0.25">
      <c r="A524" s="86" t="s">
        <v>163</v>
      </c>
      <c r="B524" s="296" t="s">
        <v>64</v>
      </c>
      <c r="C524" s="297"/>
      <c r="D524" s="297"/>
      <c r="E524" s="298"/>
    </row>
    <row r="525" spans="1:5" ht="12" thickBot="1" x14ac:dyDescent="0.25">
      <c r="A525" s="87" t="s">
        <v>164</v>
      </c>
      <c r="B525" s="299" t="str">
        <f>IF(ISBLANK(B524:E524),"",IF(ISERROR(VLOOKUP(B524:E524,BNOMINA,2,FALSE)),"EL DATO NO EXISTE",VLOOKUP(B524:E524,BNOMINA,2,FALSE)))</f>
        <v>Patricia Rodriguez</v>
      </c>
      <c r="C525" s="300"/>
      <c r="D525" s="300"/>
      <c r="E525" s="301"/>
    </row>
    <row r="526" spans="1:5" ht="12" thickBot="1" x14ac:dyDescent="0.25">
      <c r="A526" s="302"/>
      <c r="B526" s="303"/>
      <c r="C526" s="303"/>
      <c r="D526" s="303"/>
      <c r="E526" s="88"/>
    </row>
    <row r="527" spans="1:5" ht="12" thickBot="1" x14ac:dyDescent="0.25">
      <c r="A527" s="89" t="s">
        <v>165</v>
      </c>
      <c r="B527" s="90">
        <f>VLOOKUP(B524,BNOMINA,6,FALSE)</f>
        <v>781242</v>
      </c>
      <c r="C527" s="91" t="s">
        <v>166</v>
      </c>
      <c r="D527" s="92">
        <f>VLOOKUP(B524,BNOMINA,21,FALSE)</f>
        <v>33918.923500000004</v>
      </c>
      <c r="E527" s="93"/>
    </row>
    <row r="528" spans="1:5" ht="12" thickBot="1" x14ac:dyDescent="0.25">
      <c r="A528" s="94" t="s">
        <v>167</v>
      </c>
      <c r="B528" s="90">
        <f>VLOOKUP(B524,BNOMINA,15,FALSE)</f>
        <v>66731.087500000009</v>
      </c>
      <c r="C528" s="95" t="s">
        <v>168</v>
      </c>
      <c r="D528" s="92">
        <f>VLOOKUP(B524,BNOMINA,22,FALSE)</f>
        <v>33918.923500000004</v>
      </c>
      <c r="E528" s="93"/>
    </row>
    <row r="529" spans="1:5" ht="12" thickBot="1" x14ac:dyDescent="0.25">
      <c r="A529" s="96" t="s">
        <v>169</v>
      </c>
      <c r="B529" s="90">
        <f>VLOOKUP(B524,BNOMINA,16,FALSE)</f>
        <v>88200</v>
      </c>
      <c r="C529" s="95" t="s">
        <v>170</v>
      </c>
      <c r="D529" s="92">
        <f>VLOOKUP(B524,BNOMINA,23,FALSE)</f>
        <v>0</v>
      </c>
      <c r="E529" s="93"/>
    </row>
    <row r="530" spans="1:5" ht="12" thickBot="1" x14ac:dyDescent="0.25">
      <c r="A530" s="94" t="s">
        <v>171</v>
      </c>
      <c r="B530" s="90">
        <f>VLOOKUP(B524,BNOMINA,17,FALSE)</f>
        <v>0</v>
      </c>
      <c r="C530" s="95" t="s">
        <v>172</v>
      </c>
      <c r="D530" s="92">
        <f>VLOOKUP(B524,BNOMINA,24,FALSE)</f>
        <v>31249.68</v>
      </c>
      <c r="E530" s="93"/>
    </row>
    <row r="531" spans="1:5" ht="12" thickBot="1" x14ac:dyDescent="0.25">
      <c r="A531" s="94" t="s">
        <v>173</v>
      </c>
      <c r="B531" s="90">
        <f>VLOOKUP(B524,BNOMINA,18,FALSE)</f>
        <v>0</v>
      </c>
      <c r="C531" s="87" t="s">
        <v>174</v>
      </c>
      <c r="D531" s="92">
        <f>VLOOKUP(B524,BNOMINA,25,FALSE)</f>
        <v>3906.21</v>
      </c>
      <c r="E531" s="93"/>
    </row>
    <row r="532" spans="1:5" ht="12" thickBot="1" x14ac:dyDescent="0.25">
      <c r="A532" s="97"/>
      <c r="B532" s="98"/>
      <c r="C532" s="99"/>
      <c r="D532" s="99"/>
      <c r="E532" s="88"/>
    </row>
    <row r="533" spans="1:5" ht="12" thickBot="1" x14ac:dyDescent="0.25">
      <c r="A533" s="86" t="s">
        <v>175</v>
      </c>
      <c r="B533" s="90">
        <f>SUM(B527:B532)</f>
        <v>936173.08750000002</v>
      </c>
      <c r="C533" s="100" t="s">
        <v>176</v>
      </c>
      <c r="D533" s="304">
        <f>SUM(D527:D532)</f>
        <v>102993.73700000001</v>
      </c>
      <c r="E533" s="305"/>
    </row>
    <row r="534" spans="1:5" x14ac:dyDescent="0.2">
      <c r="A534" s="97"/>
      <c r="B534" s="98"/>
      <c r="C534" s="98"/>
      <c r="D534" s="98"/>
      <c r="E534" s="88"/>
    </row>
    <row r="535" spans="1:5" ht="12" thickBot="1" x14ac:dyDescent="0.25">
      <c r="A535" s="101"/>
      <c r="B535" s="102"/>
      <c r="C535" s="102"/>
      <c r="D535" s="102"/>
      <c r="E535" s="103"/>
    </row>
    <row r="536" spans="1:5" ht="12" thickBot="1" x14ac:dyDescent="0.25">
      <c r="B536" s="105"/>
      <c r="C536" s="94" t="s">
        <v>177</v>
      </c>
      <c r="D536" s="306">
        <f>B533-D533</f>
        <v>833179.35050000006</v>
      </c>
      <c r="E536" s="307"/>
    </row>
    <row r="538" spans="1:5" ht="12" thickBot="1" x14ac:dyDescent="0.25"/>
    <row r="539" spans="1:5" x14ac:dyDescent="0.2">
      <c r="A539" s="308"/>
      <c r="B539" s="309"/>
      <c r="C539" s="309"/>
      <c r="D539" s="309"/>
      <c r="E539" s="310"/>
    </row>
    <row r="540" spans="1:5" x14ac:dyDescent="0.2">
      <c r="A540" s="311" t="s">
        <v>160</v>
      </c>
      <c r="B540" s="312"/>
      <c r="C540" s="312"/>
      <c r="D540" s="312"/>
      <c r="E540" s="313"/>
    </row>
    <row r="541" spans="1:5" x14ac:dyDescent="0.2">
      <c r="A541" s="314" t="s">
        <v>161</v>
      </c>
      <c r="B541" s="315"/>
      <c r="C541" s="315"/>
      <c r="D541" s="315"/>
      <c r="E541" s="316"/>
    </row>
    <row r="542" spans="1:5" x14ac:dyDescent="0.2">
      <c r="A542" s="311" t="s">
        <v>162</v>
      </c>
      <c r="B542" s="312"/>
      <c r="C542" s="312"/>
      <c r="D542" s="312"/>
      <c r="E542" s="313"/>
    </row>
    <row r="543" spans="1:5" ht="12" thickBot="1" x14ac:dyDescent="0.25">
      <c r="A543" s="293"/>
      <c r="B543" s="294"/>
      <c r="C543" s="294"/>
      <c r="D543" s="294"/>
      <c r="E543" s="295"/>
    </row>
    <row r="544" spans="1:5" ht="12" thickBot="1" x14ac:dyDescent="0.25">
      <c r="A544" s="86" t="s">
        <v>163</v>
      </c>
      <c r="B544" s="296" t="s">
        <v>66</v>
      </c>
      <c r="C544" s="297"/>
      <c r="D544" s="297"/>
      <c r="E544" s="298"/>
    </row>
    <row r="545" spans="1:5" ht="12" thickBot="1" x14ac:dyDescent="0.25">
      <c r="A545" s="87" t="s">
        <v>164</v>
      </c>
      <c r="B545" s="299" t="str">
        <f>IF(ISBLANK(B544:E544),"",IF(ISERROR(VLOOKUP(B544:E544,BNOMINA,2,FALSE)),"EL DATO NO EXISTE",VLOOKUP(B544:E544,BNOMINA,2,FALSE)))</f>
        <v>Sandra Marcela Rojas</v>
      </c>
      <c r="C545" s="300"/>
      <c r="D545" s="300"/>
      <c r="E545" s="301"/>
    </row>
    <row r="546" spans="1:5" ht="12" thickBot="1" x14ac:dyDescent="0.25">
      <c r="A546" s="302"/>
      <c r="B546" s="303"/>
      <c r="C546" s="303"/>
      <c r="D546" s="303"/>
      <c r="E546" s="88"/>
    </row>
    <row r="547" spans="1:5" ht="12" thickBot="1" x14ac:dyDescent="0.25">
      <c r="A547" s="89" t="s">
        <v>165</v>
      </c>
      <c r="B547" s="90">
        <f>VLOOKUP(B544,BNOMINA,6,FALSE)</f>
        <v>781242</v>
      </c>
      <c r="C547" s="91" t="s">
        <v>166</v>
      </c>
      <c r="D547" s="92">
        <f>VLOOKUP(B544,BNOMINA,21,FALSE)</f>
        <v>33918.923500000004</v>
      </c>
      <c r="E547" s="93"/>
    </row>
    <row r="548" spans="1:5" ht="12" thickBot="1" x14ac:dyDescent="0.25">
      <c r="A548" s="94" t="s">
        <v>167</v>
      </c>
      <c r="B548" s="90">
        <f>VLOOKUP(B544,BNOMINA,15,FALSE)</f>
        <v>66731.087500000009</v>
      </c>
      <c r="C548" s="95" t="s">
        <v>168</v>
      </c>
      <c r="D548" s="92">
        <f>VLOOKUP(B544,BNOMINA,22,FALSE)</f>
        <v>33918.923500000004</v>
      </c>
      <c r="E548" s="93"/>
    </row>
    <row r="549" spans="1:5" ht="12" thickBot="1" x14ac:dyDescent="0.25">
      <c r="A549" s="96" t="s">
        <v>169</v>
      </c>
      <c r="B549" s="90">
        <f>VLOOKUP(B544,BNOMINA,16,FALSE)</f>
        <v>88200</v>
      </c>
      <c r="C549" s="95" t="s">
        <v>170</v>
      </c>
      <c r="D549" s="92">
        <f>VLOOKUP(B544,BNOMINA,23,FALSE)</f>
        <v>0</v>
      </c>
      <c r="E549" s="93"/>
    </row>
    <row r="550" spans="1:5" ht="12" thickBot="1" x14ac:dyDescent="0.25">
      <c r="A550" s="94" t="s">
        <v>171</v>
      </c>
      <c r="B550" s="90">
        <f>VLOOKUP(B544,BNOMINA,17,FALSE)</f>
        <v>0</v>
      </c>
      <c r="C550" s="95" t="s">
        <v>172</v>
      </c>
      <c r="D550" s="92">
        <f>VLOOKUP(B544,BNOMINA,24,FALSE)</f>
        <v>31249.68</v>
      </c>
      <c r="E550" s="93"/>
    </row>
    <row r="551" spans="1:5" ht="12" thickBot="1" x14ac:dyDescent="0.25">
      <c r="A551" s="94" t="s">
        <v>173</v>
      </c>
      <c r="B551" s="90">
        <f>VLOOKUP(B544,BNOMINA,18,FALSE)</f>
        <v>0</v>
      </c>
      <c r="C551" s="87" t="s">
        <v>174</v>
      </c>
      <c r="D551" s="92">
        <f>VLOOKUP(B544,BNOMINA,25,FALSE)</f>
        <v>3906.21</v>
      </c>
      <c r="E551" s="93"/>
    </row>
    <row r="552" spans="1:5" ht="12" thickBot="1" x14ac:dyDescent="0.25">
      <c r="A552" s="97"/>
      <c r="B552" s="98"/>
      <c r="C552" s="99"/>
      <c r="D552" s="99"/>
      <c r="E552" s="88"/>
    </row>
    <row r="553" spans="1:5" ht="12" thickBot="1" x14ac:dyDescent="0.25">
      <c r="A553" s="86" t="s">
        <v>175</v>
      </c>
      <c r="B553" s="90">
        <f>SUM(B547:B552)</f>
        <v>936173.08750000002</v>
      </c>
      <c r="C553" s="100" t="s">
        <v>176</v>
      </c>
      <c r="D553" s="304">
        <f>SUM(D547:D552)</f>
        <v>102993.73700000001</v>
      </c>
      <c r="E553" s="305"/>
    </row>
    <row r="554" spans="1:5" x14ac:dyDescent="0.2">
      <c r="A554" s="97"/>
      <c r="B554" s="98"/>
      <c r="C554" s="98"/>
      <c r="D554" s="98"/>
      <c r="E554" s="88"/>
    </row>
    <row r="555" spans="1:5" ht="12" thickBot="1" x14ac:dyDescent="0.25">
      <c r="A555" s="101"/>
      <c r="B555" s="102"/>
      <c r="C555" s="102"/>
      <c r="D555" s="102"/>
      <c r="E555" s="103"/>
    </row>
    <row r="556" spans="1:5" ht="12" thickBot="1" x14ac:dyDescent="0.25">
      <c r="B556" s="105"/>
      <c r="C556" s="94" t="s">
        <v>177</v>
      </c>
      <c r="D556" s="306">
        <f>B553-D553</f>
        <v>833179.35050000006</v>
      </c>
      <c r="E556" s="307"/>
    </row>
    <row r="558" spans="1:5" ht="12" thickBot="1" x14ac:dyDescent="0.25"/>
    <row r="559" spans="1:5" x14ac:dyDescent="0.2">
      <c r="A559" s="308"/>
      <c r="B559" s="309"/>
      <c r="C559" s="309"/>
      <c r="D559" s="309"/>
      <c r="E559" s="310"/>
    </row>
    <row r="560" spans="1:5" x14ac:dyDescent="0.2">
      <c r="A560" s="311" t="s">
        <v>160</v>
      </c>
      <c r="B560" s="312"/>
      <c r="C560" s="312"/>
      <c r="D560" s="312"/>
      <c r="E560" s="313"/>
    </row>
    <row r="561" spans="1:5" x14ac:dyDescent="0.2">
      <c r="A561" s="314" t="s">
        <v>161</v>
      </c>
      <c r="B561" s="315"/>
      <c r="C561" s="315"/>
      <c r="D561" s="315"/>
      <c r="E561" s="316"/>
    </row>
    <row r="562" spans="1:5" x14ac:dyDescent="0.2">
      <c r="A562" s="311" t="s">
        <v>162</v>
      </c>
      <c r="B562" s="312"/>
      <c r="C562" s="312"/>
      <c r="D562" s="312"/>
      <c r="E562" s="313"/>
    </row>
    <row r="563" spans="1:5" ht="12" thickBot="1" x14ac:dyDescent="0.25">
      <c r="A563" s="293"/>
      <c r="B563" s="294"/>
      <c r="C563" s="294"/>
      <c r="D563" s="294"/>
      <c r="E563" s="295"/>
    </row>
    <row r="564" spans="1:5" ht="12" thickBot="1" x14ac:dyDescent="0.25">
      <c r="A564" s="86" t="s">
        <v>163</v>
      </c>
      <c r="B564" s="296" t="s">
        <v>68</v>
      </c>
      <c r="C564" s="297"/>
      <c r="D564" s="297"/>
      <c r="E564" s="298"/>
    </row>
    <row r="565" spans="1:5" ht="12" thickBot="1" x14ac:dyDescent="0.25">
      <c r="A565" s="87" t="s">
        <v>164</v>
      </c>
      <c r="B565" s="299" t="str">
        <f>IF(ISBLANK(B564:E564),"",IF(ISERROR(VLOOKUP(B564:E564,BNOMINA,2,FALSE)),"EL DATO NO EXISTE",VLOOKUP(B564:E564,BNOMINA,2,FALSE)))</f>
        <v>Yeisón Fernando García</v>
      </c>
      <c r="C565" s="300"/>
      <c r="D565" s="300"/>
      <c r="E565" s="301"/>
    </row>
    <row r="566" spans="1:5" ht="12" thickBot="1" x14ac:dyDescent="0.25">
      <c r="A566" s="302"/>
      <c r="B566" s="303"/>
      <c r="C566" s="303"/>
      <c r="D566" s="303"/>
      <c r="E566" s="88"/>
    </row>
    <row r="567" spans="1:5" ht="12" thickBot="1" x14ac:dyDescent="0.25">
      <c r="A567" s="89" t="s">
        <v>165</v>
      </c>
      <c r="B567" s="90">
        <f>VLOOKUP(B564,BNOMINA,6,FALSE)</f>
        <v>1100000</v>
      </c>
      <c r="C567" s="91" t="s">
        <v>166</v>
      </c>
      <c r="D567" s="92">
        <f>VLOOKUP(B564,BNOMINA,21,FALSE)</f>
        <v>45600</v>
      </c>
      <c r="E567" s="93"/>
    </row>
    <row r="568" spans="1:5" ht="12" thickBot="1" x14ac:dyDescent="0.25">
      <c r="A568" s="94" t="s">
        <v>167</v>
      </c>
      <c r="B568" s="90">
        <f>VLOOKUP(B564,BNOMINA,15,FALSE)</f>
        <v>0</v>
      </c>
      <c r="C568" s="95" t="s">
        <v>168</v>
      </c>
      <c r="D568" s="92">
        <f>VLOOKUP(B564,BNOMINA,22,FALSE)</f>
        <v>45600</v>
      </c>
      <c r="E568" s="93"/>
    </row>
    <row r="569" spans="1:5" ht="12" thickBot="1" x14ac:dyDescent="0.25">
      <c r="A569" s="96" t="s">
        <v>169</v>
      </c>
      <c r="B569" s="90">
        <f>VLOOKUP(B564,BNOMINA,16,FALSE)</f>
        <v>88200</v>
      </c>
      <c r="C569" s="95" t="s">
        <v>170</v>
      </c>
      <c r="D569" s="92">
        <f>VLOOKUP(B564,BNOMINA,23,FALSE)</f>
        <v>0</v>
      </c>
      <c r="E569" s="93"/>
    </row>
    <row r="570" spans="1:5" ht="12" thickBot="1" x14ac:dyDescent="0.25">
      <c r="A570" s="94" t="s">
        <v>171</v>
      </c>
      <c r="B570" s="90">
        <f>VLOOKUP(B564,BNOMINA,17,FALSE)</f>
        <v>0</v>
      </c>
      <c r="C570" s="95" t="s">
        <v>172</v>
      </c>
      <c r="D570" s="92">
        <f>VLOOKUP(B564,BNOMINA,24,FALSE)</f>
        <v>110000</v>
      </c>
      <c r="E570" s="93"/>
    </row>
    <row r="571" spans="1:5" ht="12" thickBot="1" x14ac:dyDescent="0.25">
      <c r="A571" s="94" t="s">
        <v>173</v>
      </c>
      <c r="B571" s="90">
        <f>VLOOKUP(B564,BNOMINA,18,FALSE)</f>
        <v>40000</v>
      </c>
      <c r="C571" s="87" t="s">
        <v>174</v>
      </c>
      <c r="D571" s="92">
        <f>VLOOKUP(B564,BNOMINA,25,FALSE)</f>
        <v>22000</v>
      </c>
      <c r="E571" s="93"/>
    </row>
    <row r="572" spans="1:5" ht="12" thickBot="1" x14ac:dyDescent="0.25">
      <c r="A572" s="97"/>
      <c r="B572" s="98"/>
      <c r="C572" s="99"/>
      <c r="D572" s="99"/>
      <c r="E572" s="88"/>
    </row>
    <row r="573" spans="1:5" ht="12" thickBot="1" x14ac:dyDescent="0.25">
      <c r="A573" s="86" t="s">
        <v>175</v>
      </c>
      <c r="B573" s="90">
        <f>SUM(B567:B572)</f>
        <v>1228200</v>
      </c>
      <c r="C573" s="100" t="s">
        <v>176</v>
      </c>
      <c r="D573" s="304">
        <f>SUM(D567:D572)</f>
        <v>223200</v>
      </c>
      <c r="E573" s="305"/>
    </row>
    <row r="574" spans="1:5" x14ac:dyDescent="0.2">
      <c r="A574" s="97"/>
      <c r="B574" s="98"/>
      <c r="C574" s="98"/>
      <c r="D574" s="98"/>
      <c r="E574" s="88"/>
    </row>
    <row r="575" spans="1:5" ht="12" thickBot="1" x14ac:dyDescent="0.25">
      <c r="A575" s="101"/>
      <c r="B575" s="102"/>
      <c r="C575" s="102"/>
      <c r="D575" s="102"/>
      <c r="E575" s="103"/>
    </row>
    <row r="576" spans="1:5" ht="12" thickBot="1" x14ac:dyDescent="0.25">
      <c r="B576" s="105"/>
      <c r="C576" s="94" t="s">
        <v>177</v>
      </c>
      <c r="D576" s="306">
        <f>B573-D573</f>
        <v>1005000</v>
      </c>
      <c r="E576" s="307"/>
    </row>
    <row r="577" spans="1:5" ht="12" thickBot="1" x14ac:dyDescent="0.25"/>
    <row r="578" spans="1:5" x14ac:dyDescent="0.2">
      <c r="A578" s="308"/>
      <c r="B578" s="309"/>
      <c r="C578" s="309"/>
      <c r="D578" s="309"/>
      <c r="E578" s="310"/>
    </row>
    <row r="579" spans="1:5" x14ac:dyDescent="0.2">
      <c r="A579" s="311" t="s">
        <v>160</v>
      </c>
      <c r="B579" s="312"/>
      <c r="C579" s="312"/>
      <c r="D579" s="312"/>
      <c r="E579" s="313"/>
    </row>
    <row r="580" spans="1:5" x14ac:dyDescent="0.2">
      <c r="A580" s="314" t="s">
        <v>161</v>
      </c>
      <c r="B580" s="315"/>
      <c r="C580" s="315"/>
      <c r="D580" s="315"/>
      <c r="E580" s="316"/>
    </row>
    <row r="581" spans="1:5" x14ac:dyDescent="0.2">
      <c r="A581" s="311" t="s">
        <v>162</v>
      </c>
      <c r="B581" s="312"/>
      <c r="C581" s="312"/>
      <c r="D581" s="312"/>
      <c r="E581" s="313"/>
    </row>
    <row r="582" spans="1:5" ht="12" thickBot="1" x14ac:dyDescent="0.25">
      <c r="A582" s="293"/>
      <c r="B582" s="294"/>
      <c r="C582" s="294"/>
      <c r="D582" s="294"/>
      <c r="E582" s="295"/>
    </row>
    <row r="583" spans="1:5" ht="12" thickBot="1" x14ac:dyDescent="0.25">
      <c r="A583" s="86" t="s">
        <v>163</v>
      </c>
      <c r="B583" s="296" t="s">
        <v>70</v>
      </c>
      <c r="C583" s="297"/>
      <c r="D583" s="297"/>
      <c r="E583" s="298"/>
    </row>
    <row r="584" spans="1:5" ht="12" thickBot="1" x14ac:dyDescent="0.25">
      <c r="A584" s="87" t="s">
        <v>164</v>
      </c>
      <c r="B584" s="299" t="str">
        <f>IF(ISBLANK(B583:E583),"",IF(ISERROR(VLOOKUP(B583:E583,BNOMINA,2,FALSE)),"EL DATO NO EXISTE",VLOOKUP(B583:E583,BNOMINA,2,FALSE)))</f>
        <v>Yohiner Tangarife</v>
      </c>
      <c r="C584" s="300"/>
      <c r="D584" s="300"/>
      <c r="E584" s="301"/>
    </row>
    <row r="585" spans="1:5" ht="12" thickBot="1" x14ac:dyDescent="0.25">
      <c r="A585" s="302"/>
      <c r="B585" s="303"/>
      <c r="C585" s="303"/>
      <c r="D585" s="303"/>
      <c r="E585" s="88"/>
    </row>
    <row r="586" spans="1:5" ht="12" thickBot="1" x14ac:dyDescent="0.25">
      <c r="A586" s="89" t="s">
        <v>165</v>
      </c>
      <c r="B586" s="90">
        <f>VLOOKUP(B583,BNOMINA,6,FALSE)</f>
        <v>1100000</v>
      </c>
      <c r="C586" s="91" t="s">
        <v>166</v>
      </c>
      <c r="D586" s="92">
        <f>VLOOKUP(B583,BNOMINA,21,FALSE)</f>
        <v>45600</v>
      </c>
      <c r="E586" s="93"/>
    </row>
    <row r="587" spans="1:5" ht="12" thickBot="1" x14ac:dyDescent="0.25">
      <c r="A587" s="94" t="s">
        <v>167</v>
      </c>
      <c r="B587" s="90">
        <f>VLOOKUP(B583,BNOMINA,15,FALSE)</f>
        <v>0</v>
      </c>
      <c r="C587" s="95" t="s">
        <v>168</v>
      </c>
      <c r="D587" s="92">
        <f>VLOOKUP(B583,BNOMINA,22,FALSE)</f>
        <v>45600</v>
      </c>
      <c r="E587" s="93"/>
    </row>
    <row r="588" spans="1:5" ht="12" thickBot="1" x14ac:dyDescent="0.25">
      <c r="A588" s="96" t="s">
        <v>169</v>
      </c>
      <c r="B588" s="90">
        <f>VLOOKUP(B583,BNOMINA,16,FALSE)</f>
        <v>88200</v>
      </c>
      <c r="C588" s="95" t="s">
        <v>170</v>
      </c>
      <c r="D588" s="92">
        <f>VLOOKUP(B583,BNOMINA,23,FALSE)</f>
        <v>0</v>
      </c>
      <c r="E588" s="93"/>
    </row>
    <row r="589" spans="1:5" ht="12" thickBot="1" x14ac:dyDescent="0.25">
      <c r="A589" s="94" t="s">
        <v>171</v>
      </c>
      <c r="B589" s="90">
        <f>VLOOKUP(B583,BNOMINA,17,FALSE)</f>
        <v>0</v>
      </c>
      <c r="C589" s="95" t="s">
        <v>172</v>
      </c>
      <c r="D589" s="92">
        <f>VLOOKUP(B583,BNOMINA,24,FALSE)</f>
        <v>110000</v>
      </c>
      <c r="E589" s="93"/>
    </row>
    <row r="590" spans="1:5" ht="12" thickBot="1" x14ac:dyDescent="0.25">
      <c r="A590" s="94" t="s">
        <v>173</v>
      </c>
      <c r="B590" s="90">
        <f>VLOOKUP(B583,BNOMINA,18,FALSE)</f>
        <v>40000</v>
      </c>
      <c r="C590" s="87" t="s">
        <v>174</v>
      </c>
      <c r="D590" s="92">
        <f>VLOOKUP(B583,BNOMINA,25,FALSE)</f>
        <v>22000</v>
      </c>
      <c r="E590" s="93"/>
    </row>
    <row r="591" spans="1:5" ht="12" thickBot="1" x14ac:dyDescent="0.25">
      <c r="A591" s="97"/>
      <c r="B591" s="98"/>
      <c r="C591" s="99"/>
      <c r="D591" s="99"/>
      <c r="E591" s="88"/>
    </row>
    <row r="592" spans="1:5" ht="12" thickBot="1" x14ac:dyDescent="0.25">
      <c r="A592" s="86" t="s">
        <v>175</v>
      </c>
      <c r="B592" s="90">
        <f>SUM(B586:B591)</f>
        <v>1228200</v>
      </c>
      <c r="C592" s="100" t="s">
        <v>176</v>
      </c>
      <c r="D592" s="304">
        <f>SUM(D586:D591)</f>
        <v>223200</v>
      </c>
      <c r="E592" s="305"/>
    </row>
    <row r="593" spans="1:7" x14ac:dyDescent="0.2">
      <c r="A593" s="97"/>
      <c r="B593" s="98"/>
      <c r="C593" s="98"/>
      <c r="D593" s="98"/>
      <c r="E593" s="88"/>
    </row>
    <row r="594" spans="1:7" ht="12" thickBot="1" x14ac:dyDescent="0.25">
      <c r="A594" s="101"/>
      <c r="B594" s="102"/>
      <c r="C594" s="102"/>
      <c r="D594" s="102"/>
      <c r="E594" s="103"/>
    </row>
    <row r="595" spans="1:7" ht="12" thickBot="1" x14ac:dyDescent="0.25">
      <c r="B595" s="105"/>
      <c r="C595" s="94" t="s">
        <v>177</v>
      </c>
      <c r="D595" s="306">
        <f>B592-D592</f>
        <v>1005000</v>
      </c>
      <c r="E595" s="307"/>
    </row>
    <row r="597" spans="1:7" ht="12" thickBot="1" x14ac:dyDescent="0.25"/>
    <row r="598" spans="1:7" x14ac:dyDescent="0.2">
      <c r="A598" s="308"/>
      <c r="B598" s="309"/>
      <c r="C598" s="309"/>
      <c r="D598" s="309"/>
      <c r="E598" s="310"/>
    </row>
    <row r="599" spans="1:7" x14ac:dyDescent="0.2">
      <c r="A599" s="311" t="s">
        <v>160</v>
      </c>
      <c r="B599" s="312"/>
      <c r="C599" s="312"/>
      <c r="D599" s="312"/>
      <c r="E599" s="313"/>
    </row>
    <row r="600" spans="1:7" x14ac:dyDescent="0.2">
      <c r="A600" s="314" t="s">
        <v>161</v>
      </c>
      <c r="B600" s="315"/>
      <c r="C600" s="315"/>
      <c r="D600" s="315"/>
      <c r="E600" s="316"/>
    </row>
    <row r="601" spans="1:7" x14ac:dyDescent="0.2">
      <c r="A601" s="311" t="s">
        <v>162</v>
      </c>
      <c r="B601" s="312"/>
      <c r="C601" s="312"/>
      <c r="D601" s="312"/>
      <c r="E601" s="313"/>
    </row>
    <row r="602" spans="1:7" ht="12" thickBot="1" x14ac:dyDescent="0.25">
      <c r="A602" s="293"/>
      <c r="B602" s="294"/>
      <c r="C602" s="294"/>
      <c r="D602" s="294"/>
      <c r="E602" s="295"/>
    </row>
    <row r="603" spans="1:7" ht="12" thickBot="1" x14ac:dyDescent="0.25">
      <c r="A603" s="86" t="s">
        <v>163</v>
      </c>
      <c r="B603" s="296" t="s">
        <v>72</v>
      </c>
      <c r="C603" s="297"/>
      <c r="D603" s="297"/>
      <c r="E603" s="298"/>
    </row>
    <row r="604" spans="1:7" ht="12" thickBot="1" x14ac:dyDescent="0.25">
      <c r="A604" s="87" t="s">
        <v>164</v>
      </c>
      <c r="B604" s="299" t="str">
        <f>IF(ISBLANK(B603:E603),"",IF(ISERROR(VLOOKUP(B603:E603,BNOMINA,2,FALSE)),"EL DATO NO EXISTE",VLOOKUP(B603:E603,BNOMINA,2,FALSE)))</f>
        <v>Yuliana Cardona</v>
      </c>
      <c r="C604" s="300"/>
      <c r="D604" s="300"/>
      <c r="E604" s="301"/>
    </row>
    <row r="605" spans="1:7" ht="12" thickBot="1" x14ac:dyDescent="0.25">
      <c r="A605" s="302"/>
      <c r="B605" s="303"/>
      <c r="C605" s="303"/>
      <c r="D605" s="303"/>
      <c r="E605" s="88"/>
      <c r="G605" s="106"/>
    </row>
    <row r="606" spans="1:7" ht="12" thickBot="1" x14ac:dyDescent="0.25">
      <c r="A606" s="89" t="s">
        <v>165</v>
      </c>
      <c r="B606" s="90">
        <f>VLOOKUP(B603,BNOMINA,6,FALSE)</f>
        <v>900000</v>
      </c>
      <c r="C606" s="91" t="s">
        <v>166</v>
      </c>
      <c r="D606" s="92">
        <f>VLOOKUP(B603,BNOMINA,21,FALSE)</f>
        <v>37600</v>
      </c>
      <c r="E606" s="93"/>
    </row>
    <row r="607" spans="1:7" ht="12" thickBot="1" x14ac:dyDescent="0.25">
      <c r="A607" s="94" t="s">
        <v>167</v>
      </c>
      <c r="B607" s="90">
        <f>VLOOKUP(B603,BNOMINA,15,FALSE)</f>
        <v>0</v>
      </c>
      <c r="C607" s="95" t="s">
        <v>168</v>
      </c>
      <c r="D607" s="92">
        <f>VLOOKUP(B603,BNOMINA,22,FALSE)</f>
        <v>37600</v>
      </c>
      <c r="E607" s="93"/>
    </row>
    <row r="608" spans="1:7" ht="12" thickBot="1" x14ac:dyDescent="0.25">
      <c r="A608" s="96" t="s">
        <v>169</v>
      </c>
      <c r="B608" s="90">
        <f>VLOOKUP(B603,BNOMINA,16,FALSE)</f>
        <v>88200</v>
      </c>
      <c r="C608" s="95" t="s">
        <v>170</v>
      </c>
      <c r="D608" s="92">
        <f>VLOOKUP(B603,BNOMINA,23,FALSE)</f>
        <v>0</v>
      </c>
      <c r="E608" s="93"/>
    </row>
    <row r="609" spans="1:5" ht="12" thickBot="1" x14ac:dyDescent="0.25">
      <c r="A609" s="94" t="s">
        <v>171</v>
      </c>
      <c r="B609" s="90">
        <f>VLOOKUP(B603,BNOMINA,17,FALSE)</f>
        <v>0</v>
      </c>
      <c r="C609" s="95" t="s">
        <v>172</v>
      </c>
      <c r="D609" s="92">
        <f>VLOOKUP(B603,BNOMINA,24,FALSE)</f>
        <v>63000.000000000007</v>
      </c>
      <c r="E609" s="93"/>
    </row>
    <row r="610" spans="1:5" ht="12" thickBot="1" x14ac:dyDescent="0.25">
      <c r="A610" s="94" t="s">
        <v>173</v>
      </c>
      <c r="B610" s="90">
        <f>VLOOKUP(B603,BNOMINA,18,FALSE)</f>
        <v>40000</v>
      </c>
      <c r="C610" s="87" t="s">
        <v>174</v>
      </c>
      <c r="D610" s="92">
        <f>VLOOKUP(B603,BNOMINA,25,FALSE)</f>
        <v>18000</v>
      </c>
      <c r="E610" s="93"/>
    </row>
    <row r="611" spans="1:5" ht="12" thickBot="1" x14ac:dyDescent="0.25">
      <c r="A611" s="97"/>
      <c r="B611" s="98"/>
      <c r="C611" s="99"/>
      <c r="D611" s="99"/>
      <c r="E611" s="88"/>
    </row>
    <row r="612" spans="1:5" ht="12" thickBot="1" x14ac:dyDescent="0.25">
      <c r="A612" s="86" t="s">
        <v>175</v>
      </c>
      <c r="B612" s="90">
        <f>SUM(B606:B611)</f>
        <v>1028200</v>
      </c>
      <c r="C612" s="100" t="s">
        <v>176</v>
      </c>
      <c r="D612" s="304">
        <f>SUM(D606:D611)</f>
        <v>156200</v>
      </c>
      <c r="E612" s="305"/>
    </row>
    <row r="613" spans="1:5" x14ac:dyDescent="0.2">
      <c r="A613" s="97"/>
      <c r="B613" s="98"/>
      <c r="C613" s="98"/>
      <c r="D613" s="98"/>
      <c r="E613" s="88"/>
    </row>
    <row r="614" spans="1:5" ht="12" thickBot="1" x14ac:dyDescent="0.25">
      <c r="A614" s="101"/>
      <c r="B614" s="102"/>
      <c r="C614" s="102"/>
      <c r="D614" s="102"/>
      <c r="E614" s="103"/>
    </row>
    <row r="615" spans="1:5" ht="12" thickBot="1" x14ac:dyDescent="0.25">
      <c r="B615" s="105"/>
      <c r="C615" s="94" t="s">
        <v>177</v>
      </c>
      <c r="D615" s="306">
        <f>B612-D612</f>
        <v>872000</v>
      </c>
      <c r="E615" s="307"/>
    </row>
  </sheetData>
  <mergeCells count="300">
    <mergeCell ref="B7:E7"/>
    <mergeCell ref="A8:D8"/>
    <mergeCell ref="D15:E15"/>
    <mergeCell ref="D18:E18"/>
    <mergeCell ref="A23:E23"/>
    <mergeCell ref="A24:E24"/>
    <mergeCell ref="A1:E1"/>
    <mergeCell ref="A2:E2"/>
    <mergeCell ref="A3:E3"/>
    <mergeCell ref="A4:E4"/>
    <mergeCell ref="A5:E5"/>
    <mergeCell ref="B6:E6"/>
    <mergeCell ref="D37:E37"/>
    <mergeCell ref="D40:E40"/>
    <mergeCell ref="A44:E44"/>
    <mergeCell ref="A45:E45"/>
    <mergeCell ref="A46:E46"/>
    <mergeCell ref="A47:E47"/>
    <mergeCell ref="A25:E25"/>
    <mergeCell ref="A26:E26"/>
    <mergeCell ref="A27:E27"/>
    <mergeCell ref="B28:E28"/>
    <mergeCell ref="B29:E29"/>
    <mergeCell ref="A30:D30"/>
    <mergeCell ref="A63:E63"/>
    <mergeCell ref="A64:E64"/>
    <mergeCell ref="A65:E65"/>
    <mergeCell ref="A66:E66"/>
    <mergeCell ref="A67:E67"/>
    <mergeCell ref="B68:E68"/>
    <mergeCell ref="A48:E48"/>
    <mergeCell ref="B49:E49"/>
    <mergeCell ref="B50:E50"/>
    <mergeCell ref="A51:D51"/>
    <mergeCell ref="D58:E58"/>
    <mergeCell ref="D61:E61"/>
    <mergeCell ref="A85:E85"/>
    <mergeCell ref="A86:E86"/>
    <mergeCell ref="A87:E87"/>
    <mergeCell ref="B88:E88"/>
    <mergeCell ref="B89:E89"/>
    <mergeCell ref="A90:D90"/>
    <mergeCell ref="B69:E69"/>
    <mergeCell ref="A70:D70"/>
    <mergeCell ref="D77:E77"/>
    <mergeCell ref="D80:E80"/>
    <mergeCell ref="A83:E83"/>
    <mergeCell ref="A84:E84"/>
    <mergeCell ref="A108:E108"/>
    <mergeCell ref="B109:E109"/>
    <mergeCell ref="B110:E110"/>
    <mergeCell ref="A111:D111"/>
    <mergeCell ref="D118:E118"/>
    <mergeCell ref="D121:E121"/>
    <mergeCell ref="D97:E97"/>
    <mergeCell ref="D100:E100"/>
    <mergeCell ref="A104:E104"/>
    <mergeCell ref="A105:E105"/>
    <mergeCell ref="A106:E106"/>
    <mergeCell ref="A107:E107"/>
    <mergeCell ref="B130:E130"/>
    <mergeCell ref="A131:D131"/>
    <mergeCell ref="D138:E138"/>
    <mergeCell ref="D141:E141"/>
    <mergeCell ref="A145:E145"/>
    <mergeCell ref="A146:E146"/>
    <mergeCell ref="A124:E124"/>
    <mergeCell ref="A125:E125"/>
    <mergeCell ref="A126:E126"/>
    <mergeCell ref="A127:E127"/>
    <mergeCell ref="A128:E128"/>
    <mergeCell ref="B129:E129"/>
    <mergeCell ref="D159:E159"/>
    <mergeCell ref="D162:E162"/>
    <mergeCell ref="A166:E166"/>
    <mergeCell ref="A167:E167"/>
    <mergeCell ref="A168:E168"/>
    <mergeCell ref="A169:E169"/>
    <mergeCell ref="A147:E147"/>
    <mergeCell ref="A148:E148"/>
    <mergeCell ref="A149:E149"/>
    <mergeCell ref="B150:E150"/>
    <mergeCell ref="B151:E151"/>
    <mergeCell ref="A152:D152"/>
    <mergeCell ref="A187:E187"/>
    <mergeCell ref="A188:E188"/>
    <mergeCell ref="A189:E189"/>
    <mergeCell ref="A190:E190"/>
    <mergeCell ref="A191:E191"/>
    <mergeCell ref="B192:E192"/>
    <mergeCell ref="A170:E170"/>
    <mergeCell ref="B171:E171"/>
    <mergeCell ref="B172:E172"/>
    <mergeCell ref="A173:D173"/>
    <mergeCell ref="D180:E180"/>
    <mergeCell ref="D183:E183"/>
    <mergeCell ref="A211:E211"/>
    <mergeCell ref="A212:E212"/>
    <mergeCell ref="A213:E213"/>
    <mergeCell ref="B214:E214"/>
    <mergeCell ref="B215:E215"/>
    <mergeCell ref="A216:D216"/>
    <mergeCell ref="B193:E193"/>
    <mergeCell ref="A194:D194"/>
    <mergeCell ref="D201:E201"/>
    <mergeCell ref="D204:E204"/>
    <mergeCell ref="A209:E209"/>
    <mergeCell ref="A210:E210"/>
    <mergeCell ref="A234:E234"/>
    <mergeCell ref="B235:E235"/>
    <mergeCell ref="B236:E236"/>
    <mergeCell ref="A237:D237"/>
    <mergeCell ref="D244:E244"/>
    <mergeCell ref="D247:E247"/>
    <mergeCell ref="D223:E223"/>
    <mergeCell ref="D226:E226"/>
    <mergeCell ref="A230:E230"/>
    <mergeCell ref="A231:E231"/>
    <mergeCell ref="A232:E232"/>
    <mergeCell ref="A233:E233"/>
    <mergeCell ref="B256:E256"/>
    <mergeCell ref="A257:D257"/>
    <mergeCell ref="D264:E264"/>
    <mergeCell ref="D267:E267"/>
    <mergeCell ref="A270:E270"/>
    <mergeCell ref="A271:E271"/>
    <mergeCell ref="A250:E250"/>
    <mergeCell ref="A251:E251"/>
    <mergeCell ref="A252:E252"/>
    <mergeCell ref="A253:E253"/>
    <mergeCell ref="A254:E254"/>
    <mergeCell ref="B255:E255"/>
    <mergeCell ref="D284:E284"/>
    <mergeCell ref="D287:E287"/>
    <mergeCell ref="A291:E291"/>
    <mergeCell ref="A292:E292"/>
    <mergeCell ref="A293:E293"/>
    <mergeCell ref="A294:E294"/>
    <mergeCell ref="A272:E272"/>
    <mergeCell ref="A273:E273"/>
    <mergeCell ref="A274:E274"/>
    <mergeCell ref="B275:E275"/>
    <mergeCell ref="B276:E276"/>
    <mergeCell ref="A277:D277"/>
    <mergeCell ref="A313:E313"/>
    <mergeCell ref="A314:E314"/>
    <mergeCell ref="A315:E315"/>
    <mergeCell ref="A316:E316"/>
    <mergeCell ref="A317:E317"/>
    <mergeCell ref="B318:E318"/>
    <mergeCell ref="A295:E295"/>
    <mergeCell ref="B296:E296"/>
    <mergeCell ref="B297:E297"/>
    <mergeCell ref="A298:D298"/>
    <mergeCell ref="D305:E305"/>
    <mergeCell ref="D308:E308"/>
    <mergeCell ref="A335:E335"/>
    <mergeCell ref="A336:E336"/>
    <mergeCell ref="A337:E337"/>
    <mergeCell ref="B338:E338"/>
    <mergeCell ref="B339:E339"/>
    <mergeCell ref="A340:D340"/>
    <mergeCell ref="B319:E319"/>
    <mergeCell ref="A320:D320"/>
    <mergeCell ref="D327:E327"/>
    <mergeCell ref="D330:E330"/>
    <mergeCell ref="A333:E333"/>
    <mergeCell ref="A334:E334"/>
    <mergeCell ref="A357:E357"/>
    <mergeCell ref="B358:E358"/>
    <mergeCell ref="B359:E359"/>
    <mergeCell ref="A360:D360"/>
    <mergeCell ref="D367:E367"/>
    <mergeCell ref="D370:E370"/>
    <mergeCell ref="D347:E347"/>
    <mergeCell ref="D350:E350"/>
    <mergeCell ref="A353:E353"/>
    <mergeCell ref="A354:E354"/>
    <mergeCell ref="A355:E355"/>
    <mergeCell ref="A356:E356"/>
    <mergeCell ref="B380:E380"/>
    <mergeCell ref="A381:D381"/>
    <mergeCell ref="D388:E388"/>
    <mergeCell ref="D391:E391"/>
    <mergeCell ref="A395:E395"/>
    <mergeCell ref="A396:E396"/>
    <mergeCell ref="A374:E374"/>
    <mergeCell ref="A375:E375"/>
    <mergeCell ref="A376:E376"/>
    <mergeCell ref="A377:E377"/>
    <mergeCell ref="A378:E378"/>
    <mergeCell ref="B379:E379"/>
    <mergeCell ref="D409:E409"/>
    <mergeCell ref="D412:E412"/>
    <mergeCell ref="A416:E416"/>
    <mergeCell ref="A417:E417"/>
    <mergeCell ref="A418:E418"/>
    <mergeCell ref="A419:E419"/>
    <mergeCell ref="A397:E397"/>
    <mergeCell ref="A398:E398"/>
    <mergeCell ref="A399:E399"/>
    <mergeCell ref="B400:E400"/>
    <mergeCell ref="B401:E401"/>
    <mergeCell ref="A402:D402"/>
    <mergeCell ref="A436:E436"/>
    <mergeCell ref="A437:E437"/>
    <mergeCell ref="A438:E438"/>
    <mergeCell ref="A439:E439"/>
    <mergeCell ref="A440:E440"/>
    <mergeCell ref="B441:E441"/>
    <mergeCell ref="A420:E420"/>
    <mergeCell ref="B421:E421"/>
    <mergeCell ref="B422:E422"/>
    <mergeCell ref="A423:D423"/>
    <mergeCell ref="D430:E430"/>
    <mergeCell ref="D433:E433"/>
    <mergeCell ref="A459:E459"/>
    <mergeCell ref="A460:E460"/>
    <mergeCell ref="A461:E461"/>
    <mergeCell ref="B462:E462"/>
    <mergeCell ref="B463:E463"/>
    <mergeCell ref="A464:D464"/>
    <mergeCell ref="B442:E442"/>
    <mergeCell ref="A443:D443"/>
    <mergeCell ref="D450:E450"/>
    <mergeCell ref="D453:E453"/>
    <mergeCell ref="A457:E457"/>
    <mergeCell ref="A458:E458"/>
    <mergeCell ref="A482:E482"/>
    <mergeCell ref="B483:E483"/>
    <mergeCell ref="B484:E484"/>
    <mergeCell ref="A485:D485"/>
    <mergeCell ref="D492:E492"/>
    <mergeCell ref="D495:E495"/>
    <mergeCell ref="D471:E471"/>
    <mergeCell ref="D474:E474"/>
    <mergeCell ref="A478:E478"/>
    <mergeCell ref="A479:E479"/>
    <mergeCell ref="A480:E480"/>
    <mergeCell ref="A481:E481"/>
    <mergeCell ref="B505:E505"/>
    <mergeCell ref="A506:D506"/>
    <mergeCell ref="D513:E513"/>
    <mergeCell ref="D516:E516"/>
    <mergeCell ref="A519:E519"/>
    <mergeCell ref="A520:E520"/>
    <mergeCell ref="A499:E499"/>
    <mergeCell ref="A500:E500"/>
    <mergeCell ref="A501:E501"/>
    <mergeCell ref="A502:E502"/>
    <mergeCell ref="A503:E503"/>
    <mergeCell ref="B504:E504"/>
    <mergeCell ref="D533:E533"/>
    <mergeCell ref="D536:E536"/>
    <mergeCell ref="A539:E539"/>
    <mergeCell ref="A540:E540"/>
    <mergeCell ref="A541:E541"/>
    <mergeCell ref="A542:E542"/>
    <mergeCell ref="A521:E521"/>
    <mergeCell ref="A522:E522"/>
    <mergeCell ref="A523:E523"/>
    <mergeCell ref="B524:E524"/>
    <mergeCell ref="B525:E525"/>
    <mergeCell ref="A526:D526"/>
    <mergeCell ref="A559:E559"/>
    <mergeCell ref="A560:E560"/>
    <mergeCell ref="A561:E561"/>
    <mergeCell ref="A562:E562"/>
    <mergeCell ref="A563:E563"/>
    <mergeCell ref="B564:E564"/>
    <mergeCell ref="A543:E543"/>
    <mergeCell ref="B544:E544"/>
    <mergeCell ref="B545:E545"/>
    <mergeCell ref="A546:D546"/>
    <mergeCell ref="D553:E553"/>
    <mergeCell ref="D556:E556"/>
    <mergeCell ref="A580:E580"/>
    <mergeCell ref="A581:E581"/>
    <mergeCell ref="A582:E582"/>
    <mergeCell ref="B583:E583"/>
    <mergeCell ref="B584:E584"/>
    <mergeCell ref="A585:D585"/>
    <mergeCell ref="B565:E565"/>
    <mergeCell ref="A566:D566"/>
    <mergeCell ref="D573:E573"/>
    <mergeCell ref="D576:E576"/>
    <mergeCell ref="A578:E578"/>
    <mergeCell ref="A579:E579"/>
    <mergeCell ref="A602:E602"/>
    <mergeCell ref="B603:E603"/>
    <mergeCell ref="B604:E604"/>
    <mergeCell ref="A605:D605"/>
    <mergeCell ref="D612:E612"/>
    <mergeCell ref="D615:E615"/>
    <mergeCell ref="D592:E592"/>
    <mergeCell ref="D595:E595"/>
    <mergeCell ref="A598:E598"/>
    <mergeCell ref="A599:E599"/>
    <mergeCell ref="A600:E600"/>
    <mergeCell ref="A601:E601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115BD23-01C3-457E-8C64-546C96B9A944}">
          <x14:formula1>
            <xm:f>'C:\GLADYS PERSONAL\[TALLE R N.xlsx]Nómina'!#REF!</xm:f>
          </x14:formula1>
          <xm:sqref>B6:E6 B28:E28 B49:E49 B68:E68 B88:E88 B109:E109 B129:E129 B150:E150 B171:E171 B192:E192 B214:E214 B235:E235 B255:E255 B275:E275 B296:E296 B318:E318 B338:E338 B358:E358 B379:E379 B400:E400 B421:E421 B441:E441 B462:E462 B483:E483 B504:E504 B524:E524 B544:E544 B564:E564 B583:E583 B603:E603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DCA15-937C-4E07-BD6E-735CD012E6CA}">
  <dimension ref="A1:AC17"/>
  <sheetViews>
    <sheetView topLeftCell="A7" workbookViewId="0">
      <selection activeCell="C13" sqref="C13"/>
    </sheetView>
  </sheetViews>
  <sheetFormatPr baseColWidth="10" defaultRowHeight="11.25" x14ac:dyDescent="0.2"/>
  <cols>
    <col min="1" max="1" width="26.85546875" style="107" customWidth="1"/>
    <col min="2" max="5" width="11.42578125" style="107"/>
    <col min="6" max="6" width="14.5703125" style="107" customWidth="1"/>
    <col min="7" max="12" width="11.42578125" style="107"/>
    <col min="13" max="13" width="12.28515625" style="107" bestFit="1" customWidth="1"/>
    <col min="14" max="14" width="11.42578125" style="107"/>
    <col min="15" max="16" width="12.28515625" style="107" bestFit="1" customWidth="1"/>
    <col min="17" max="18" width="11.42578125" style="107"/>
    <col min="19" max="19" width="14.85546875" style="107" customWidth="1"/>
    <col min="20" max="20" width="15.140625" style="107" customWidth="1"/>
    <col min="21" max="22" width="12.28515625" style="107" bestFit="1" customWidth="1"/>
    <col min="23" max="23" width="11.42578125" style="107"/>
    <col min="24" max="24" width="12.28515625" style="107" bestFit="1" customWidth="1"/>
    <col min="25" max="25" width="11.42578125" style="107"/>
    <col min="26" max="26" width="15.7109375" style="107" customWidth="1"/>
    <col min="27" max="27" width="14.85546875" style="107" customWidth="1"/>
    <col min="28" max="29" width="11.42578125" style="107"/>
    <col min="30" max="16384" width="11.42578125" style="108"/>
  </cols>
  <sheetData>
    <row r="1" spans="1:27" x14ac:dyDescent="0.2">
      <c r="A1" s="107" t="s">
        <v>178</v>
      </c>
    </row>
    <row r="3" spans="1:27" x14ac:dyDescent="0.2">
      <c r="A3" s="107" t="s">
        <v>98</v>
      </c>
    </row>
    <row r="4" spans="1:27" x14ac:dyDescent="0.2">
      <c r="A4" s="107" t="s">
        <v>16</v>
      </c>
    </row>
    <row r="5" spans="1:27" x14ac:dyDescent="0.2">
      <c r="A5" s="107" t="s">
        <v>35</v>
      </c>
    </row>
    <row r="7" spans="1:27" ht="12" thickBot="1" x14ac:dyDescent="0.25"/>
    <row r="8" spans="1:27" ht="24" thickTop="1" thickBot="1" x14ac:dyDescent="0.25">
      <c r="A8" s="109" t="s">
        <v>96</v>
      </c>
      <c r="B8" s="109" t="s">
        <v>96</v>
      </c>
      <c r="C8" s="109" t="s">
        <v>98</v>
      </c>
      <c r="D8" s="109" t="s">
        <v>99</v>
      </c>
      <c r="E8" s="110" t="s">
        <v>100</v>
      </c>
      <c r="F8" s="110" t="s">
        <v>101</v>
      </c>
      <c r="G8" s="111" t="s">
        <v>102</v>
      </c>
      <c r="H8" s="111" t="s">
        <v>103</v>
      </c>
      <c r="I8" s="109" t="s">
        <v>104</v>
      </c>
      <c r="J8" s="109" t="s">
        <v>105</v>
      </c>
      <c r="K8" s="112" t="s">
        <v>102</v>
      </c>
      <c r="L8" s="112" t="s">
        <v>103</v>
      </c>
      <c r="M8" s="110" t="s">
        <v>108</v>
      </c>
      <c r="N8" s="113" t="s">
        <v>109</v>
      </c>
      <c r="O8" s="109" t="s">
        <v>110</v>
      </c>
      <c r="P8" s="110" t="s">
        <v>111</v>
      </c>
      <c r="Q8" s="109" t="s">
        <v>112</v>
      </c>
      <c r="R8" s="109" t="s">
        <v>113</v>
      </c>
      <c r="S8" s="109" t="s">
        <v>114</v>
      </c>
      <c r="T8" s="109" t="s">
        <v>115</v>
      </c>
      <c r="U8" s="111" t="s">
        <v>116</v>
      </c>
      <c r="V8" s="111" t="s">
        <v>117</v>
      </c>
      <c r="W8" s="111" t="s">
        <v>118</v>
      </c>
      <c r="X8" s="109" t="s">
        <v>119</v>
      </c>
      <c r="Y8" s="109" t="s">
        <v>120</v>
      </c>
      <c r="Z8" s="109" t="s">
        <v>85</v>
      </c>
      <c r="AA8" s="109" t="s">
        <v>121</v>
      </c>
    </row>
    <row r="9" spans="1:27" ht="12.75" thickTop="1" thickBot="1" x14ac:dyDescent="0.25">
      <c r="A9" s="114" t="s">
        <v>14</v>
      </c>
      <c r="B9" s="114" t="s">
        <v>14</v>
      </c>
      <c r="C9" s="115" t="s">
        <v>16</v>
      </c>
      <c r="D9" s="116">
        <v>30</v>
      </c>
      <c r="E9" s="117">
        <v>26041.4</v>
      </c>
      <c r="F9" s="118">
        <v>781242</v>
      </c>
      <c r="G9" s="119">
        <v>5</v>
      </c>
      <c r="H9" s="119">
        <v>4</v>
      </c>
      <c r="I9" s="119">
        <v>2</v>
      </c>
      <c r="J9" s="119">
        <v>1</v>
      </c>
      <c r="K9" s="119">
        <v>5</v>
      </c>
      <c r="L9" s="119">
        <v>4</v>
      </c>
      <c r="M9" s="118">
        <v>14648.2875</v>
      </c>
      <c r="N9" s="118">
        <v>8951.7312500000007</v>
      </c>
      <c r="O9" s="118">
        <v>66731.087500000009</v>
      </c>
      <c r="P9" s="118">
        <v>88200</v>
      </c>
      <c r="Q9" s="118">
        <v>0</v>
      </c>
      <c r="R9" s="118">
        <v>1.4999999999999998E-6</v>
      </c>
      <c r="S9" s="118">
        <v>936173.08750150003</v>
      </c>
      <c r="T9" s="118">
        <v>847973.08750150003</v>
      </c>
      <c r="U9" s="118">
        <v>33918.923500060002</v>
      </c>
      <c r="V9" s="118">
        <v>33918.923500060002</v>
      </c>
      <c r="W9" s="118">
        <v>0</v>
      </c>
      <c r="X9" s="118">
        <v>31249.68</v>
      </c>
      <c r="Y9" s="118">
        <v>3906.21</v>
      </c>
      <c r="Z9" s="118">
        <v>102993.73700012</v>
      </c>
      <c r="AA9" s="118">
        <v>833179.35050138005</v>
      </c>
    </row>
    <row r="10" spans="1:27" ht="12.75" thickTop="1" thickBot="1" x14ac:dyDescent="0.25">
      <c r="A10" s="114" t="s">
        <v>33</v>
      </c>
      <c r="B10" s="114" t="s">
        <v>33</v>
      </c>
      <c r="C10" s="115" t="s">
        <v>35</v>
      </c>
      <c r="D10" s="116">
        <v>30</v>
      </c>
      <c r="E10" s="117">
        <v>26041.4</v>
      </c>
      <c r="F10" s="118">
        <v>781242</v>
      </c>
      <c r="G10" s="119">
        <v>5</v>
      </c>
      <c r="H10" s="119">
        <v>4</v>
      </c>
      <c r="I10" s="119">
        <v>2</v>
      </c>
      <c r="J10" s="119">
        <v>1</v>
      </c>
      <c r="K10" s="119">
        <v>5</v>
      </c>
      <c r="L10" s="119">
        <v>4</v>
      </c>
      <c r="M10" s="118">
        <v>14648.2875</v>
      </c>
      <c r="N10" s="118">
        <v>8951.7312500000007</v>
      </c>
      <c r="O10" s="118">
        <v>66731.087500000009</v>
      </c>
      <c r="P10" s="118">
        <v>88200</v>
      </c>
      <c r="Q10" s="118">
        <v>0</v>
      </c>
      <c r="R10" s="118">
        <v>0</v>
      </c>
      <c r="S10" s="118">
        <v>936173.08750000002</v>
      </c>
      <c r="T10" s="118">
        <v>847973.08750000002</v>
      </c>
      <c r="U10" s="118">
        <v>33918.923500000004</v>
      </c>
      <c r="V10" s="118">
        <v>33918.923500000004</v>
      </c>
      <c r="W10" s="118">
        <v>0</v>
      </c>
      <c r="X10" s="118">
        <v>31249.68</v>
      </c>
      <c r="Y10" s="118">
        <v>3906.21</v>
      </c>
      <c r="Z10" s="118">
        <v>102993.73700000001</v>
      </c>
      <c r="AA10" s="118">
        <v>833179.35050000006</v>
      </c>
    </row>
    <row r="11" spans="1:27" ht="12.75" thickTop="1" thickBot="1" x14ac:dyDescent="0.25">
      <c r="A11" s="114" t="s">
        <v>43</v>
      </c>
      <c r="B11" s="114" t="s">
        <v>43</v>
      </c>
      <c r="C11" s="115" t="s">
        <v>35</v>
      </c>
      <c r="D11" s="116">
        <v>30</v>
      </c>
      <c r="E11" s="117">
        <v>26041.4</v>
      </c>
      <c r="F11" s="118">
        <v>781242</v>
      </c>
      <c r="G11" s="119">
        <v>5</v>
      </c>
      <c r="H11" s="119">
        <v>4</v>
      </c>
      <c r="I11" s="119">
        <v>2</v>
      </c>
      <c r="J11" s="119">
        <v>1</v>
      </c>
      <c r="K11" s="119">
        <v>5</v>
      </c>
      <c r="L11" s="119">
        <v>4</v>
      </c>
      <c r="M11" s="118">
        <v>14648.2875</v>
      </c>
      <c r="N11" s="118">
        <v>8951.7312500000007</v>
      </c>
      <c r="O11" s="118">
        <v>66731.087500000009</v>
      </c>
      <c r="P11" s="118">
        <v>88200</v>
      </c>
      <c r="Q11" s="118">
        <v>0</v>
      </c>
      <c r="R11" s="118">
        <v>0</v>
      </c>
      <c r="S11" s="118">
        <v>936173.08750000002</v>
      </c>
      <c r="T11" s="118">
        <v>847973.08750000002</v>
      </c>
      <c r="U11" s="118">
        <v>33918.923500000004</v>
      </c>
      <c r="V11" s="118">
        <v>33918.923500000004</v>
      </c>
      <c r="W11" s="118">
        <v>0</v>
      </c>
      <c r="X11" s="118">
        <v>31249.68</v>
      </c>
      <c r="Y11" s="118">
        <v>3906.21</v>
      </c>
      <c r="Z11" s="118">
        <v>102993.73700000001</v>
      </c>
      <c r="AA11" s="118">
        <v>833179.35050000006</v>
      </c>
    </row>
    <row r="12" spans="1:27" ht="12.75" thickTop="1" thickBot="1" x14ac:dyDescent="0.25">
      <c r="A12" s="114" t="s">
        <v>53</v>
      </c>
      <c r="B12" s="114" t="s">
        <v>53</v>
      </c>
      <c r="C12" s="115" t="s">
        <v>35</v>
      </c>
      <c r="D12" s="116">
        <v>30</v>
      </c>
      <c r="E12" s="117">
        <v>26041.4</v>
      </c>
      <c r="F12" s="118">
        <v>781242</v>
      </c>
      <c r="G12" s="119">
        <v>5</v>
      </c>
      <c r="H12" s="119">
        <v>4</v>
      </c>
      <c r="I12" s="119">
        <v>2</v>
      </c>
      <c r="J12" s="119">
        <v>1</v>
      </c>
      <c r="K12" s="119">
        <v>5</v>
      </c>
      <c r="L12" s="119">
        <v>4</v>
      </c>
      <c r="M12" s="118">
        <v>14648.2875</v>
      </c>
      <c r="N12" s="118">
        <v>8951.7312500000007</v>
      </c>
      <c r="O12" s="118">
        <v>66731.087500000009</v>
      </c>
      <c r="P12" s="118">
        <v>88200</v>
      </c>
      <c r="Q12" s="118">
        <v>0</v>
      </c>
      <c r="R12" s="118">
        <v>0</v>
      </c>
      <c r="S12" s="118">
        <v>936173.08750000002</v>
      </c>
      <c r="T12" s="118">
        <v>847973.08750000002</v>
      </c>
      <c r="U12" s="118">
        <v>33918.923500000004</v>
      </c>
      <c r="V12" s="118">
        <v>33918.923500000004</v>
      </c>
      <c r="W12" s="118">
        <v>0</v>
      </c>
      <c r="X12" s="118">
        <v>31249.68</v>
      </c>
      <c r="Y12" s="118">
        <v>3906.21</v>
      </c>
      <c r="Z12" s="118">
        <v>102993.73700000001</v>
      </c>
      <c r="AA12" s="118">
        <v>833179.35050000006</v>
      </c>
    </row>
    <row r="13" spans="1:27" ht="12.75" thickTop="1" thickBot="1" x14ac:dyDescent="0.25">
      <c r="A13" s="114" t="s">
        <v>58</v>
      </c>
      <c r="B13" s="114" t="s">
        <v>58</v>
      </c>
      <c r="C13" s="115" t="s">
        <v>16</v>
      </c>
      <c r="D13" s="116">
        <v>30</v>
      </c>
      <c r="E13" s="117">
        <v>26041.4</v>
      </c>
      <c r="F13" s="118">
        <v>781242</v>
      </c>
      <c r="G13" s="119">
        <v>5</v>
      </c>
      <c r="H13" s="119">
        <v>4</v>
      </c>
      <c r="I13" s="119">
        <v>2</v>
      </c>
      <c r="J13" s="119">
        <v>1</v>
      </c>
      <c r="K13" s="119">
        <v>5</v>
      </c>
      <c r="L13" s="119">
        <v>4</v>
      </c>
      <c r="M13" s="118">
        <v>14648.2875</v>
      </c>
      <c r="N13" s="118">
        <v>8951.7312500000007</v>
      </c>
      <c r="O13" s="118">
        <v>66731.087500000009</v>
      </c>
      <c r="P13" s="118">
        <v>88200</v>
      </c>
      <c r="Q13" s="118">
        <v>0</v>
      </c>
      <c r="R13" s="118">
        <v>0</v>
      </c>
      <c r="S13" s="118">
        <v>936173.08750000002</v>
      </c>
      <c r="T13" s="118">
        <v>847973.08750000002</v>
      </c>
      <c r="U13" s="118">
        <v>33918.923500000004</v>
      </c>
      <c r="V13" s="118">
        <v>33918.923500000004</v>
      </c>
      <c r="W13" s="118">
        <v>0</v>
      </c>
      <c r="X13" s="118">
        <v>31249.68</v>
      </c>
      <c r="Y13" s="118">
        <v>3906.21</v>
      </c>
      <c r="Z13" s="118">
        <v>102993.73700000001</v>
      </c>
      <c r="AA13" s="118">
        <v>833179.35050000006</v>
      </c>
    </row>
    <row r="14" spans="1:27" ht="12.75" thickTop="1" thickBot="1" x14ac:dyDescent="0.25">
      <c r="A14" s="114" t="s">
        <v>62</v>
      </c>
      <c r="B14" s="114" t="s">
        <v>62</v>
      </c>
      <c r="C14" s="115" t="s">
        <v>35</v>
      </c>
      <c r="D14" s="116">
        <v>30</v>
      </c>
      <c r="E14" s="117">
        <v>26041.4</v>
      </c>
      <c r="F14" s="118">
        <v>781242</v>
      </c>
      <c r="G14" s="119">
        <v>5</v>
      </c>
      <c r="H14" s="119">
        <v>4</v>
      </c>
      <c r="I14" s="119">
        <v>2</v>
      </c>
      <c r="J14" s="119">
        <v>1</v>
      </c>
      <c r="K14" s="119">
        <v>5</v>
      </c>
      <c r="L14" s="119">
        <v>4</v>
      </c>
      <c r="M14" s="118">
        <v>14648.2875</v>
      </c>
      <c r="N14" s="118">
        <v>8951.7312500000007</v>
      </c>
      <c r="O14" s="118">
        <v>66731.087500000009</v>
      </c>
      <c r="P14" s="118">
        <v>88200</v>
      </c>
      <c r="Q14" s="118">
        <v>0</v>
      </c>
      <c r="R14" s="118">
        <v>0</v>
      </c>
      <c r="S14" s="118">
        <v>936173.08750000002</v>
      </c>
      <c r="T14" s="118">
        <v>847973.08750000002</v>
      </c>
      <c r="U14" s="118">
        <v>33918.923500000004</v>
      </c>
      <c r="V14" s="118">
        <v>33918.923500000004</v>
      </c>
      <c r="W14" s="118">
        <v>0</v>
      </c>
      <c r="X14" s="118">
        <v>31249.68</v>
      </c>
      <c r="Y14" s="118">
        <v>3906.21</v>
      </c>
      <c r="Z14" s="118">
        <v>102993.73700000001</v>
      </c>
      <c r="AA14" s="118">
        <v>833179.35050000006</v>
      </c>
    </row>
    <row r="15" spans="1:27" ht="12.75" thickTop="1" thickBot="1" x14ac:dyDescent="0.25">
      <c r="A15" s="114" t="s">
        <v>64</v>
      </c>
      <c r="B15" s="114" t="s">
        <v>64</v>
      </c>
      <c r="C15" s="115" t="s">
        <v>35</v>
      </c>
      <c r="D15" s="116">
        <v>30</v>
      </c>
      <c r="E15" s="117">
        <v>26041.4</v>
      </c>
      <c r="F15" s="118">
        <v>781242</v>
      </c>
      <c r="G15" s="119">
        <v>5</v>
      </c>
      <c r="H15" s="119">
        <v>4</v>
      </c>
      <c r="I15" s="119">
        <v>2</v>
      </c>
      <c r="J15" s="119">
        <v>1</v>
      </c>
      <c r="K15" s="119">
        <v>5</v>
      </c>
      <c r="L15" s="119">
        <v>4</v>
      </c>
      <c r="M15" s="118">
        <v>14648.2875</v>
      </c>
      <c r="N15" s="118">
        <v>8951.7312500000007</v>
      </c>
      <c r="O15" s="118">
        <v>66731.087500000009</v>
      </c>
      <c r="P15" s="118">
        <v>88200</v>
      </c>
      <c r="Q15" s="118">
        <v>0</v>
      </c>
      <c r="R15" s="118">
        <v>0</v>
      </c>
      <c r="S15" s="118">
        <v>936173.08750000002</v>
      </c>
      <c r="T15" s="118">
        <v>847973.08750000002</v>
      </c>
      <c r="U15" s="118">
        <v>33918.923500000004</v>
      </c>
      <c r="V15" s="118">
        <v>33918.923500000004</v>
      </c>
      <c r="W15" s="118">
        <v>0</v>
      </c>
      <c r="X15" s="118">
        <v>31249.68</v>
      </c>
      <c r="Y15" s="118">
        <v>3906.21</v>
      </c>
      <c r="Z15" s="118">
        <v>102993.73700000001</v>
      </c>
      <c r="AA15" s="118">
        <v>833179.35050000006</v>
      </c>
    </row>
    <row r="16" spans="1:27" ht="12" thickTop="1" x14ac:dyDescent="0.2">
      <c r="A16" s="114" t="s">
        <v>66</v>
      </c>
      <c r="B16" s="114" t="s">
        <v>66</v>
      </c>
      <c r="C16" s="115" t="s">
        <v>35</v>
      </c>
      <c r="D16" s="116">
        <v>30</v>
      </c>
      <c r="E16" s="117">
        <v>26041.4</v>
      </c>
      <c r="F16" s="120">
        <v>781242</v>
      </c>
      <c r="G16" s="121">
        <v>5</v>
      </c>
      <c r="H16" s="121">
        <v>4</v>
      </c>
      <c r="I16" s="121">
        <v>2</v>
      </c>
      <c r="J16" s="121">
        <v>1</v>
      </c>
      <c r="K16" s="121">
        <v>5</v>
      </c>
      <c r="L16" s="121">
        <v>4</v>
      </c>
      <c r="M16" s="120">
        <v>14648.2875</v>
      </c>
      <c r="N16" s="120">
        <v>8951.7312500000007</v>
      </c>
      <c r="O16" s="120">
        <v>66731.087500000009</v>
      </c>
      <c r="P16" s="120">
        <v>88200</v>
      </c>
      <c r="Q16" s="120">
        <v>0</v>
      </c>
      <c r="R16" s="120">
        <v>0</v>
      </c>
      <c r="S16" s="120">
        <v>936173.08750000002</v>
      </c>
      <c r="T16" s="120">
        <v>847973.08750000002</v>
      </c>
      <c r="U16" s="120">
        <v>33918.923500000004</v>
      </c>
      <c r="V16" s="120">
        <v>33918.923500000004</v>
      </c>
      <c r="W16" s="120">
        <v>0</v>
      </c>
      <c r="X16" s="120">
        <v>31249.68</v>
      </c>
      <c r="Y16" s="120">
        <v>3906.21</v>
      </c>
      <c r="Z16" s="120">
        <v>102993.73700000001</v>
      </c>
      <c r="AA16" s="120">
        <v>833179.35050000006</v>
      </c>
    </row>
    <row r="17" spans="1:27" x14ac:dyDescent="0.2">
      <c r="A17" s="317" t="s">
        <v>179</v>
      </c>
      <c r="B17" s="317"/>
      <c r="C17" s="317"/>
      <c r="D17" s="317"/>
      <c r="E17" s="122"/>
      <c r="F17" s="123">
        <f>SUM(F9:F16)</f>
        <v>6249936</v>
      </c>
      <c r="G17" s="122"/>
      <c r="H17" s="122"/>
      <c r="I17" s="122"/>
      <c r="J17" s="122"/>
      <c r="K17" s="122"/>
      <c r="L17" s="122"/>
      <c r="M17" s="123">
        <f t="shared" ref="M17:AA17" si="0">SUM(M9:M16)</f>
        <v>117186.30000000002</v>
      </c>
      <c r="N17" s="123">
        <f t="shared" si="0"/>
        <v>71613.849999999991</v>
      </c>
      <c r="O17" s="123">
        <f t="shared" si="0"/>
        <v>533848.70000000007</v>
      </c>
      <c r="P17" s="123">
        <f t="shared" si="0"/>
        <v>705600</v>
      </c>
      <c r="Q17" s="123">
        <f t="shared" si="0"/>
        <v>0</v>
      </c>
      <c r="R17" s="123">
        <f t="shared" si="0"/>
        <v>1.4999999999999998E-6</v>
      </c>
      <c r="S17" s="123">
        <f t="shared" si="0"/>
        <v>7489384.7000015015</v>
      </c>
      <c r="T17" s="123">
        <f t="shared" si="0"/>
        <v>6783784.7000015015</v>
      </c>
      <c r="U17" s="123">
        <f t="shared" si="0"/>
        <v>271351.38800006005</v>
      </c>
      <c r="V17" s="123">
        <f t="shared" si="0"/>
        <v>271351.38800006005</v>
      </c>
      <c r="W17" s="123">
        <f t="shared" si="0"/>
        <v>0</v>
      </c>
      <c r="X17" s="123">
        <f t="shared" si="0"/>
        <v>249997.43999999997</v>
      </c>
      <c r="Y17" s="123">
        <f t="shared" si="0"/>
        <v>31249.679999999997</v>
      </c>
      <c r="Z17" s="123">
        <f t="shared" si="0"/>
        <v>823949.89600011997</v>
      </c>
      <c r="AA17" s="123">
        <f t="shared" si="0"/>
        <v>6665434.8040013798</v>
      </c>
    </row>
  </sheetData>
  <mergeCells count="1">
    <mergeCell ref="A17:D1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CC274-7CC1-4A48-A15F-40D9B62608A2}">
  <dimension ref="A1:AA67"/>
  <sheetViews>
    <sheetView workbookViewId="0">
      <selection activeCell="B14" sqref="B14"/>
    </sheetView>
  </sheetViews>
  <sheetFormatPr baseColWidth="10" defaultRowHeight="11.25" outlineLevelRow="2" x14ac:dyDescent="0.2"/>
  <cols>
    <col min="1" max="1" width="11.7109375" style="11" bestFit="1" customWidth="1"/>
    <col min="2" max="2" width="24" style="11" customWidth="1"/>
    <col min="3" max="3" width="16.5703125" style="11" customWidth="1"/>
    <col min="4" max="4" width="9.7109375" style="11" bestFit="1" customWidth="1"/>
    <col min="5" max="5" width="22.28515625" style="124" customWidth="1"/>
    <col min="6" max="6" width="17.85546875" style="124" bestFit="1" customWidth="1"/>
    <col min="7" max="7" width="9" style="11" bestFit="1" customWidth="1"/>
    <col min="8" max="8" width="14.5703125" style="11" bestFit="1" customWidth="1"/>
    <col min="9" max="9" width="9.5703125" style="11" bestFit="1" customWidth="1"/>
    <col min="10" max="10" width="12.28515625" style="11" bestFit="1" customWidth="1"/>
    <col min="11" max="11" width="17.85546875" style="124" bestFit="1" customWidth="1"/>
    <col min="12" max="12" width="14.5703125" style="124" bestFit="1" customWidth="1"/>
    <col min="13" max="13" width="12.28515625" style="124" customWidth="1"/>
    <col min="14" max="14" width="13.28515625" style="124" bestFit="1" customWidth="1"/>
    <col min="15" max="15" width="17.28515625" style="11" customWidth="1"/>
    <col min="16" max="16" width="19.7109375" style="124" customWidth="1"/>
    <col min="17" max="17" width="15.42578125" style="11" customWidth="1"/>
    <col min="18" max="18" width="17.28515625" style="11" customWidth="1"/>
    <col min="19" max="19" width="19.140625" style="11" customWidth="1"/>
    <col min="20" max="20" width="17.7109375" style="11" customWidth="1"/>
    <col min="21" max="21" width="15" style="11" customWidth="1"/>
    <col min="22" max="22" width="16" style="11" customWidth="1"/>
    <col min="23" max="23" width="15.42578125" style="11" customWidth="1"/>
    <col min="24" max="24" width="15.5703125" style="11" customWidth="1"/>
    <col min="25" max="25" width="17.42578125" style="11" customWidth="1"/>
    <col min="26" max="26" width="17.85546875" style="11" bestFit="1" customWidth="1"/>
    <col min="27" max="27" width="17.42578125" style="107" customWidth="1"/>
    <col min="28" max="28" width="18.85546875" style="11" bestFit="1" customWidth="1"/>
    <col min="29" max="29" width="8" style="11" customWidth="1"/>
    <col min="30" max="16384" width="11.42578125" style="11"/>
  </cols>
  <sheetData>
    <row r="1" spans="1:27" ht="12" thickTop="1" x14ac:dyDescent="0.2">
      <c r="A1" s="125"/>
      <c r="B1" s="126"/>
      <c r="C1" s="126"/>
      <c r="D1" s="126"/>
      <c r="E1" s="127"/>
      <c r="F1" s="127"/>
      <c r="G1" s="126"/>
      <c r="H1" s="126"/>
      <c r="I1" s="126"/>
      <c r="J1" s="126"/>
      <c r="K1" s="127"/>
      <c r="L1" s="127"/>
      <c r="M1" s="127"/>
      <c r="N1" s="127"/>
      <c r="O1" s="126"/>
      <c r="P1" s="127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8"/>
    </row>
    <row r="2" spans="1:27" x14ac:dyDescent="0.2">
      <c r="A2" s="129"/>
      <c r="B2" s="130"/>
      <c r="C2" s="130"/>
      <c r="D2" s="130"/>
      <c r="E2" s="131"/>
      <c r="F2" s="131"/>
      <c r="G2" s="130"/>
      <c r="H2" s="130"/>
      <c r="I2" s="130"/>
      <c r="J2" s="130"/>
      <c r="K2" s="131"/>
      <c r="L2" s="131"/>
      <c r="M2" s="131"/>
      <c r="N2" s="131"/>
      <c r="O2" s="130"/>
      <c r="P2" s="131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2"/>
    </row>
    <row r="3" spans="1:27" x14ac:dyDescent="0.2">
      <c r="A3" s="129"/>
      <c r="B3" s="130"/>
      <c r="C3" s="130"/>
      <c r="D3" s="130"/>
      <c r="E3" s="131"/>
      <c r="F3" s="131"/>
      <c r="G3" s="130"/>
      <c r="H3" s="130"/>
      <c r="I3" s="130"/>
      <c r="J3" s="130"/>
      <c r="K3" s="131"/>
      <c r="L3" s="131"/>
      <c r="M3" s="131"/>
      <c r="N3" s="131"/>
      <c r="O3" s="130"/>
      <c r="P3" s="131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2"/>
    </row>
    <row r="4" spans="1:27" x14ac:dyDescent="0.2">
      <c r="A4" s="368" t="s">
        <v>74</v>
      </c>
      <c r="B4" s="369"/>
      <c r="C4" s="369"/>
      <c r="D4" s="369"/>
      <c r="E4" s="369"/>
      <c r="F4" s="369"/>
      <c r="G4" s="369"/>
      <c r="H4" s="369"/>
      <c r="I4" s="369"/>
      <c r="J4" s="369"/>
      <c r="K4" s="369"/>
      <c r="L4" s="369"/>
      <c r="M4" s="369"/>
      <c r="N4" s="369"/>
      <c r="O4" s="369"/>
      <c r="P4" s="369"/>
      <c r="Q4" s="369"/>
      <c r="R4" s="369"/>
      <c r="S4" s="369"/>
      <c r="T4" s="369"/>
      <c r="U4" s="369"/>
      <c r="V4" s="369"/>
      <c r="W4" s="369"/>
      <c r="X4" s="369"/>
      <c r="Y4" s="369"/>
      <c r="Z4" s="369"/>
      <c r="AA4" s="132"/>
    </row>
    <row r="5" spans="1:27" x14ac:dyDescent="0.2">
      <c r="A5" s="133"/>
      <c r="B5" s="134"/>
      <c r="C5" s="134"/>
      <c r="D5" s="134"/>
      <c r="E5" s="135"/>
      <c r="F5" s="135"/>
      <c r="G5" s="134"/>
      <c r="H5" s="134"/>
      <c r="I5" s="134"/>
      <c r="J5" s="134"/>
      <c r="K5" s="135"/>
      <c r="L5" s="135"/>
      <c r="M5" s="135"/>
      <c r="N5" s="135"/>
      <c r="O5" s="134"/>
      <c r="P5" s="135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2"/>
    </row>
    <row r="6" spans="1:27" x14ac:dyDescent="0.2">
      <c r="A6" s="370" t="s">
        <v>75</v>
      </c>
      <c r="B6" s="371"/>
      <c r="C6" s="371"/>
      <c r="D6" s="371"/>
      <c r="E6" s="371"/>
      <c r="F6" s="371"/>
      <c r="G6" s="371"/>
      <c r="H6" s="371"/>
      <c r="I6" s="371"/>
      <c r="J6" s="371"/>
      <c r="K6" s="371"/>
      <c r="L6" s="371"/>
      <c r="M6" s="371"/>
      <c r="N6" s="371"/>
      <c r="O6" s="372" t="s">
        <v>76</v>
      </c>
      <c r="P6" s="372"/>
      <c r="Q6" s="372"/>
      <c r="R6" s="372"/>
      <c r="S6" s="372"/>
      <c r="T6" s="372"/>
      <c r="U6" s="372"/>
      <c r="V6" s="372"/>
      <c r="W6" s="372"/>
      <c r="X6" s="372"/>
      <c r="Y6" s="372"/>
      <c r="Z6" s="372"/>
      <c r="AA6" s="132"/>
    </row>
    <row r="7" spans="1:27" x14ac:dyDescent="0.2">
      <c r="A7" s="136"/>
      <c r="B7" s="137"/>
      <c r="C7" s="137"/>
      <c r="D7" s="137"/>
      <c r="E7" s="138"/>
      <c r="F7" s="138"/>
      <c r="G7" s="137"/>
      <c r="H7" s="137"/>
      <c r="I7" s="137"/>
      <c r="J7" s="137"/>
      <c r="K7" s="138"/>
      <c r="L7" s="138"/>
      <c r="M7" s="138"/>
      <c r="N7" s="138"/>
      <c r="O7" s="139"/>
      <c r="P7" s="140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2"/>
    </row>
    <row r="8" spans="1:27" x14ac:dyDescent="0.2">
      <c r="A8" s="136"/>
      <c r="B8" s="137"/>
      <c r="C8" s="137"/>
      <c r="D8" s="137"/>
      <c r="E8" s="138"/>
      <c r="F8" s="138"/>
      <c r="G8" s="137"/>
      <c r="H8" s="137"/>
      <c r="I8" s="137"/>
      <c r="J8" s="137"/>
      <c r="K8" s="138"/>
      <c r="L8" s="138"/>
      <c r="M8" s="138"/>
      <c r="N8" s="138"/>
      <c r="O8" s="139"/>
      <c r="P8" s="140">
        <v>1562484</v>
      </c>
      <c r="Q8" s="139"/>
      <c r="R8" s="139">
        <f>781242*4</f>
        <v>3124968</v>
      </c>
      <c r="S8" s="139"/>
      <c r="T8" s="139"/>
      <c r="U8" s="139"/>
      <c r="V8" s="139"/>
      <c r="W8" s="139"/>
      <c r="X8" s="139"/>
      <c r="Y8" s="139"/>
      <c r="Z8" s="139"/>
      <c r="AA8" s="132"/>
    </row>
    <row r="9" spans="1:27" ht="12" thickBot="1" x14ac:dyDescent="0.25">
      <c r="A9" s="141"/>
      <c r="B9" s="142"/>
      <c r="C9" s="142"/>
      <c r="D9" s="142"/>
      <c r="E9" s="143"/>
      <c r="F9" s="143"/>
      <c r="G9" s="142"/>
      <c r="H9" s="142"/>
      <c r="I9" s="142"/>
      <c r="J9" s="142"/>
      <c r="K9" s="143"/>
      <c r="L9" s="143"/>
      <c r="M9" s="143"/>
      <c r="N9" s="143"/>
      <c r="O9" s="142"/>
      <c r="P9" s="143"/>
      <c r="Q9" s="142"/>
      <c r="R9" s="142"/>
      <c r="S9" s="142"/>
      <c r="T9" s="142"/>
      <c r="U9" s="142"/>
      <c r="V9" s="142"/>
      <c r="W9" s="142"/>
      <c r="X9" s="142"/>
      <c r="Y9" s="142"/>
      <c r="Z9" s="142"/>
      <c r="AA9" s="144"/>
    </row>
    <row r="10" spans="1:27" ht="13.5" customHeight="1" thickTop="1" thickBot="1" x14ac:dyDescent="0.25">
      <c r="A10" s="145" t="s">
        <v>77</v>
      </c>
      <c r="B10" s="145" t="s">
        <v>78</v>
      </c>
      <c r="C10" s="145" t="s">
        <v>79</v>
      </c>
      <c r="D10" s="145" t="s">
        <v>80</v>
      </c>
      <c r="E10" s="146" t="s">
        <v>81</v>
      </c>
      <c r="F10" s="146" t="s">
        <v>82</v>
      </c>
      <c r="G10" s="373" t="s">
        <v>83</v>
      </c>
      <c r="H10" s="374"/>
      <c r="I10" s="374"/>
      <c r="J10" s="374"/>
      <c r="K10" s="374"/>
      <c r="L10" s="374"/>
      <c r="M10" s="374"/>
      <c r="N10" s="374"/>
      <c r="O10" s="374"/>
      <c r="P10" s="374"/>
      <c r="Q10" s="374"/>
      <c r="R10" s="375"/>
      <c r="S10" s="376" t="s">
        <v>84</v>
      </c>
      <c r="T10" s="376" t="s">
        <v>84</v>
      </c>
      <c r="U10" s="373" t="s">
        <v>85</v>
      </c>
      <c r="V10" s="374"/>
      <c r="W10" s="374"/>
      <c r="X10" s="374"/>
      <c r="Y10" s="375"/>
      <c r="Z10" s="145" t="s">
        <v>86</v>
      </c>
      <c r="AA10" s="145" t="s">
        <v>87</v>
      </c>
    </row>
    <row r="11" spans="1:27" ht="13.5" customHeight="1" thickTop="1" thickBot="1" x14ac:dyDescent="0.25">
      <c r="A11" s="147" t="s">
        <v>88</v>
      </c>
      <c r="B11" s="147" t="s">
        <v>88</v>
      </c>
      <c r="C11" s="147" t="s">
        <v>89</v>
      </c>
      <c r="D11" s="147" t="s">
        <v>90</v>
      </c>
      <c r="E11" s="148"/>
      <c r="F11" s="148"/>
      <c r="G11" s="378" t="s">
        <v>91</v>
      </c>
      <c r="H11" s="379"/>
      <c r="I11" s="379"/>
      <c r="J11" s="380"/>
      <c r="K11" s="381" t="s">
        <v>92</v>
      </c>
      <c r="L11" s="382"/>
      <c r="M11" s="382"/>
      <c r="N11" s="383"/>
      <c r="O11" s="145" t="s">
        <v>86</v>
      </c>
      <c r="P11" s="146" t="s">
        <v>93</v>
      </c>
      <c r="Q11" s="145" t="s">
        <v>94</v>
      </c>
      <c r="R11" s="145" t="s">
        <v>94</v>
      </c>
      <c r="S11" s="377"/>
      <c r="T11" s="377"/>
      <c r="U11" s="373" t="s">
        <v>95</v>
      </c>
      <c r="V11" s="374"/>
      <c r="W11" s="375"/>
      <c r="X11" s="145" t="s">
        <v>94</v>
      </c>
      <c r="Y11" s="145" t="s">
        <v>94</v>
      </c>
      <c r="Z11" s="147"/>
      <c r="AA11" s="147"/>
    </row>
    <row r="12" spans="1:27" ht="30" customHeight="1" thickTop="1" thickBot="1" x14ac:dyDescent="0.25">
      <c r="A12" s="149" t="s">
        <v>96</v>
      </c>
      <c r="B12" s="149" t="s">
        <v>96</v>
      </c>
      <c r="C12" s="149" t="s">
        <v>98</v>
      </c>
      <c r="D12" s="149" t="s">
        <v>99</v>
      </c>
      <c r="E12" s="150" t="s">
        <v>100</v>
      </c>
      <c r="F12" s="150" t="s">
        <v>101</v>
      </c>
      <c r="G12" s="111" t="s">
        <v>102</v>
      </c>
      <c r="H12" s="111" t="s">
        <v>103</v>
      </c>
      <c r="I12" s="109" t="s">
        <v>104</v>
      </c>
      <c r="J12" s="109" t="s">
        <v>105</v>
      </c>
      <c r="K12" s="112" t="s">
        <v>102</v>
      </c>
      <c r="L12" s="112" t="s">
        <v>103</v>
      </c>
      <c r="M12" s="110" t="s">
        <v>108</v>
      </c>
      <c r="N12" s="113" t="s">
        <v>109</v>
      </c>
      <c r="O12" s="149" t="s">
        <v>110</v>
      </c>
      <c r="P12" s="150" t="s">
        <v>111</v>
      </c>
      <c r="Q12" s="149" t="s">
        <v>112</v>
      </c>
      <c r="R12" s="149" t="s">
        <v>113</v>
      </c>
      <c r="S12" s="149" t="s">
        <v>114</v>
      </c>
      <c r="T12" s="149" t="s">
        <v>115</v>
      </c>
      <c r="U12" s="111" t="s">
        <v>116</v>
      </c>
      <c r="V12" s="111" t="s">
        <v>117</v>
      </c>
      <c r="W12" s="111" t="s">
        <v>118</v>
      </c>
      <c r="X12" s="149" t="s">
        <v>119</v>
      </c>
      <c r="Y12" s="149" t="s">
        <v>120</v>
      </c>
      <c r="Z12" s="149" t="s">
        <v>85</v>
      </c>
      <c r="AA12" s="149" t="s">
        <v>121</v>
      </c>
    </row>
    <row r="13" spans="1:27" ht="12.75" outlineLevel="1" thickTop="1" thickBot="1" x14ac:dyDescent="0.25">
      <c r="A13" s="114"/>
      <c r="B13" s="115" t="str">
        <f>IF(ISBLANK(A13),"",IF(ISERROR(VLOOKUP(A13,bdempleados,2,FALSE)),"EL DATO NO EXISTE",VLOOKUP(A13,bdempleados,2,FALSE)))</f>
        <v/>
      </c>
      <c r="C13" s="151" t="str">
        <f>IF(A13="","",VLOOKUP(A13,'[1]BD EMPLEADOS'!A31:E63,3,FALSE))</f>
        <v/>
      </c>
      <c r="D13" s="152"/>
      <c r="E13" s="118" t="str">
        <f>+IF(A13="","",VLOOKUP(A13,'[1]BD EMPLEADOS'!A31:E63,5,FALSE))</f>
        <v/>
      </c>
      <c r="F13" s="118" t="str">
        <f>+IF(A13="","",E13*D13)</f>
        <v/>
      </c>
      <c r="G13" s="119" t="str">
        <f>+IF(C13="Operario",5,"")</f>
        <v/>
      </c>
      <c r="H13" s="119">
        <f>IF(OR(C13="OPERARIO",C13="OPERARIA"),4,0)</f>
        <v>0</v>
      </c>
      <c r="I13" s="119" t="str">
        <f>+IF(C13="Operario",2,"")</f>
        <v/>
      </c>
      <c r="J13" s="119" t="str">
        <f>+IF(C13="operario",1,"")</f>
        <v/>
      </c>
      <c r="K13" s="118" t="str">
        <f>+IF(C13="Operario",G13*(E13/8)*$U$57,"")</f>
        <v/>
      </c>
      <c r="L13" s="118" t="str">
        <f>+IF(C13="Operario",H13*(E13/8)*$U$58,"")</f>
        <v/>
      </c>
      <c r="M13" s="118">
        <v>0</v>
      </c>
      <c r="N13" s="118" t="str">
        <f>+IF(C13="Operario",J13*(E13/8)*$U$60,"")</f>
        <v/>
      </c>
      <c r="O13" s="118"/>
      <c r="P13" s="118">
        <f>IF(F13&lt;1562484,88211,IF(D13=30,88211,D13*2940))</f>
        <v>0</v>
      </c>
      <c r="Q13" s="118">
        <f>IF(C13="Vendedor",$O$62*0.03%,0)</f>
        <v>0</v>
      </c>
      <c r="R13" s="118"/>
      <c r="S13" s="118"/>
      <c r="T13" s="118"/>
      <c r="U13" s="118"/>
      <c r="V13" s="118"/>
      <c r="W13" s="118"/>
      <c r="X13" s="118"/>
      <c r="Y13" s="118"/>
      <c r="Z13" s="118">
        <f>SUM(Z1:Z12)</f>
        <v>0</v>
      </c>
      <c r="AA13" s="118">
        <f>SUM(AA1:AA12)</f>
        <v>0</v>
      </c>
    </row>
    <row r="14" spans="1:27" ht="12.75" outlineLevel="2" thickTop="1" thickBot="1" x14ac:dyDescent="0.25">
      <c r="A14" s="114" t="s">
        <v>22</v>
      </c>
      <c r="B14" s="115" t="str">
        <f>IF(ISBLANK(A14),"",IF(ISERROR(VLOOKUP(A14,bdempleados,2,FALSE)),"EL DATO NO EXISTE",VLOOKUP(A14,bdempleados,2,FALSE)))</f>
        <v>Carolina Rodríguez</v>
      </c>
      <c r="C14" s="115" t="str">
        <f>VLOOKUP(A14,bdempleados,3,FALSE)</f>
        <v>Aseadora</v>
      </c>
      <c r="D14" s="116">
        <v>30</v>
      </c>
      <c r="E14" s="117">
        <f>VLOOKUP(A14,bdempleados,5,FALSE)</f>
        <v>26041.4</v>
      </c>
      <c r="F14" s="118">
        <f>E14*30</f>
        <v>781242</v>
      </c>
      <c r="G14" s="119">
        <f>IF(OR(C14="OPERARIO",C14="OPERARIA"),5,0)</f>
        <v>0</v>
      </c>
      <c r="H14" s="119">
        <f>IF(OR(C14="OPERARIO",C14="OPERARIA"),4,0)</f>
        <v>0</v>
      </c>
      <c r="I14" s="119">
        <f>IF(OR(C14="OPERARIO",C14="OPERARIA"),2,0)</f>
        <v>0</v>
      </c>
      <c r="J14" s="119">
        <f>IF(OR(C14="OPERARIO",DD4="OPERARIA"),1,0)</f>
        <v>0</v>
      </c>
      <c r="K14" s="118">
        <f>F14/240*$U$57*G14</f>
        <v>0</v>
      </c>
      <c r="L14" s="118">
        <f>F14/240*$U$58*H14</f>
        <v>0</v>
      </c>
      <c r="M14" s="118">
        <f>F14/240*$U$59*I14</f>
        <v>0</v>
      </c>
      <c r="N14" s="118">
        <f>F14/240*$U$60*J14</f>
        <v>0</v>
      </c>
      <c r="O14" s="118">
        <f>K14+L14+M14+N14</f>
        <v>0</v>
      </c>
      <c r="P14" s="118">
        <f>IF(AND(D14&gt;30,F14&gt;$P$8),0,IF(AND(D14&lt;=30,F14&lt;=$P$8),D14*2940,0))</f>
        <v>88200</v>
      </c>
      <c r="Q14" s="118">
        <f>IF(C14="Vendedor",$O$62*0.03%,0)</f>
        <v>0</v>
      </c>
      <c r="R14" s="153">
        <f>IF(F14&gt;=900000,$O$62*$O$66,O63*$Q$66)</f>
        <v>8.9999999999999985E-8</v>
      </c>
      <c r="S14" s="118">
        <f>F14+O14+P14+Q14+R14</f>
        <v>869442.00000008999</v>
      </c>
      <c r="T14" s="118">
        <f>S14-P14</f>
        <v>781242.00000008999</v>
      </c>
      <c r="U14" s="118">
        <f>T14*$O$58</f>
        <v>31249.680000003602</v>
      </c>
      <c r="V14" s="118">
        <f>T14*$O$59</f>
        <v>31249.680000003602</v>
      </c>
      <c r="W14" s="118">
        <f>IF(F14&gt;$R$8,F14*$O$60,0)</f>
        <v>0</v>
      </c>
      <c r="X14" s="118">
        <f>IF(AND(F14&gt;=850000,F14&lt;=1000000),F14*$Q$64,IF(AND(F14&gt;=1000001,F14&lt;=9000000),F14*$P$64,F14*$R$64))</f>
        <v>31249.68</v>
      </c>
      <c r="Y14" s="118">
        <f>IF(F14&lt;800000,F14*$O$65,F14*$P$65)</f>
        <v>3906.21</v>
      </c>
      <c r="Z14" s="118">
        <f>U14+V14+W14+X14+Y14</f>
        <v>97655.250000007203</v>
      </c>
      <c r="AA14" s="118">
        <f>S14-Z14</f>
        <v>771786.75000008277</v>
      </c>
    </row>
    <row r="15" spans="1:27" ht="12.75" outlineLevel="1" thickTop="1" thickBot="1" x14ac:dyDescent="0.25">
      <c r="A15" s="114"/>
      <c r="B15" s="115"/>
      <c r="C15" s="154" t="s">
        <v>180</v>
      </c>
      <c r="D15" s="116"/>
      <c r="E15" s="117"/>
      <c r="F15" s="155">
        <f>SUBTOTAL(9,F14:F14)</f>
        <v>781242</v>
      </c>
      <c r="G15" s="119"/>
      <c r="H15" s="119"/>
      <c r="I15" s="119"/>
      <c r="J15" s="119"/>
      <c r="K15" s="118"/>
      <c r="L15" s="118"/>
      <c r="M15" s="118"/>
      <c r="N15" s="118"/>
      <c r="O15" s="118"/>
      <c r="P15" s="118"/>
      <c r="Q15" s="118"/>
      <c r="R15" s="156"/>
      <c r="S15" s="155">
        <f>SUBTOTAL(9,S14:S14)</f>
        <v>869442.00000008999</v>
      </c>
      <c r="T15" s="118"/>
      <c r="U15" s="118"/>
      <c r="V15" s="118"/>
      <c r="W15" s="118"/>
      <c r="X15" s="118"/>
      <c r="Y15" s="118"/>
      <c r="Z15" s="155">
        <f>SUBTOTAL(9,Z14:Z14)</f>
        <v>97655.250000007203</v>
      </c>
      <c r="AA15" s="155">
        <f>SUBTOTAL(9,AA14:AA14)</f>
        <v>771786.75000008277</v>
      </c>
    </row>
    <row r="16" spans="1:27" ht="12.75" outlineLevel="2" thickTop="1" thickBot="1" x14ac:dyDescent="0.25">
      <c r="A16" s="114" t="s">
        <v>11</v>
      </c>
      <c r="B16" s="115" t="str">
        <f t="shared" ref="B16:B22" si="0">IF(ISBLANK(A16),"",IF(ISERROR(VLOOKUP(A16,bdempleados,2,FALSE)),"EL DATO NO EXISTE",VLOOKUP(A16,bdempleados,2,FALSE)))</f>
        <v>Ángela María Hernández</v>
      </c>
      <c r="C16" s="115" t="str">
        <f t="shared" ref="C16:C22" si="1">VLOOKUP(A16,bdempleados,3,FALSE)</f>
        <v>Auxiliar Contable</v>
      </c>
      <c r="D16" s="116">
        <v>30</v>
      </c>
      <c r="E16" s="117">
        <f t="shared" ref="E16:E22" si="2">VLOOKUP(A16,bdempleados,5,FALSE)</f>
        <v>36666.666666666664</v>
      </c>
      <c r="F16" s="118">
        <f t="shared" ref="F16:F22" si="3">E16*30</f>
        <v>1100000</v>
      </c>
      <c r="G16" s="119">
        <f t="shared" ref="G16:G22" si="4">IF(OR(C16="OPERARIO",C16="OPERARIA"),5,0)</f>
        <v>0</v>
      </c>
      <c r="H16" s="119">
        <f t="shared" ref="H16:H22" si="5">IF(OR(C16="OPERARIO",C16="OPERARIA"),4,0)</f>
        <v>0</v>
      </c>
      <c r="I16" s="119">
        <f t="shared" ref="I16:I22" si="6">IF(OR(C16="OPERARIO",C16="OPERARIA"),2,0)</f>
        <v>0</v>
      </c>
      <c r="J16" s="119">
        <f t="shared" ref="J16:J22" si="7">IF(OR(C16="OPERARIO",DD5="OPERARIA"),1,0)</f>
        <v>0</v>
      </c>
      <c r="K16" s="118">
        <f t="shared" ref="K16:K22" si="8">F16/240*$U$57*G16</f>
        <v>0</v>
      </c>
      <c r="L16" s="118">
        <f t="shared" ref="L16:L22" si="9">F16/240*$U$58*H16</f>
        <v>0</v>
      </c>
      <c r="M16" s="118">
        <f t="shared" ref="M16:M22" si="10">F16/240*$U$59*I16</f>
        <v>0</v>
      </c>
      <c r="N16" s="118">
        <f t="shared" ref="N16:N22" si="11">F16/240*$U$60*J16</f>
        <v>0</v>
      </c>
      <c r="O16" s="118">
        <f t="shared" ref="O16:O22" si="12">K16+L16+M16+N16</f>
        <v>0</v>
      </c>
      <c r="P16" s="118">
        <f t="shared" ref="P16:P22" si="13">IF(AND(D16&gt;30,F16&gt;$P$8),0,IF(AND(D16&lt;=30,F16&lt;=$P$8),D16*2940,0))</f>
        <v>88200</v>
      </c>
      <c r="Q16" s="118">
        <f t="shared" ref="Q16:Q22" si="14">IF(C16="Vendedor",$O$62*0.03%,0)</f>
        <v>0</v>
      </c>
      <c r="R16" s="118">
        <f t="shared" ref="R16:R22" si="15">IF(F16&gt;=900000,$O$62*$O$66,O64*$Q$66)</f>
        <v>40000</v>
      </c>
      <c r="S16" s="118">
        <f t="shared" ref="S16:S22" si="16">F16+O16+P16+Q16+R16</f>
        <v>1228200</v>
      </c>
      <c r="T16" s="118">
        <f t="shared" ref="T16:T22" si="17">S16-P16</f>
        <v>1140000</v>
      </c>
      <c r="U16" s="118">
        <f t="shared" ref="U16:U22" si="18">T16*$O$58</f>
        <v>45600</v>
      </c>
      <c r="V16" s="118">
        <f t="shared" ref="V16:V22" si="19">T16*$O$59</f>
        <v>45600</v>
      </c>
      <c r="W16" s="118">
        <f t="shared" ref="W16:W22" si="20">IF(F16&gt;$R$8,F16*$O$60,0)</f>
        <v>0</v>
      </c>
      <c r="X16" s="118">
        <f t="shared" ref="X16:X22" si="21">IF(AND(F16&gt;=850000,F16&lt;=1000000),F16*$Q$64,IF(AND(F16&gt;=1000001,F16&lt;=9000000),F16*$P$64,F16*$R$64))</f>
        <v>110000</v>
      </c>
      <c r="Y16" s="118">
        <f t="shared" ref="Y16:Y22" si="22">IF(F16&lt;800000,F16*$O$65,F16*$P$65)</f>
        <v>22000</v>
      </c>
      <c r="Z16" s="118">
        <f t="shared" ref="Z16:Z22" si="23">U16+V16+W16+X16+Y16</f>
        <v>223200</v>
      </c>
      <c r="AA16" s="118">
        <f t="shared" ref="AA16:AA22" si="24">S16-Z16</f>
        <v>1005000</v>
      </c>
    </row>
    <row r="17" spans="1:27" ht="12.75" outlineLevel="2" thickTop="1" thickBot="1" x14ac:dyDescent="0.25">
      <c r="A17" s="114" t="s">
        <v>31</v>
      </c>
      <c r="B17" s="115" t="str">
        <f t="shared" si="0"/>
        <v>Dora Luz Montoya</v>
      </c>
      <c r="C17" s="115" t="str">
        <f t="shared" si="1"/>
        <v>Auxiliar Contable</v>
      </c>
      <c r="D17" s="116">
        <v>30</v>
      </c>
      <c r="E17" s="117">
        <f t="shared" si="2"/>
        <v>36666.666666666664</v>
      </c>
      <c r="F17" s="118">
        <f t="shared" si="3"/>
        <v>1100000</v>
      </c>
      <c r="G17" s="119">
        <f t="shared" si="4"/>
        <v>0</v>
      </c>
      <c r="H17" s="119">
        <f t="shared" si="5"/>
        <v>0</v>
      </c>
      <c r="I17" s="119">
        <f t="shared" si="6"/>
        <v>0</v>
      </c>
      <c r="J17" s="119">
        <f t="shared" si="7"/>
        <v>0</v>
      </c>
      <c r="K17" s="118">
        <f t="shared" si="8"/>
        <v>0</v>
      </c>
      <c r="L17" s="118">
        <f t="shared" si="9"/>
        <v>0</v>
      </c>
      <c r="M17" s="118">
        <f t="shared" si="10"/>
        <v>0</v>
      </c>
      <c r="N17" s="118">
        <f t="shared" si="11"/>
        <v>0</v>
      </c>
      <c r="O17" s="118">
        <f t="shared" si="12"/>
        <v>0</v>
      </c>
      <c r="P17" s="118">
        <f t="shared" si="13"/>
        <v>88200</v>
      </c>
      <c r="Q17" s="118">
        <f t="shared" si="14"/>
        <v>0</v>
      </c>
      <c r="R17" s="118">
        <f t="shared" si="15"/>
        <v>40000</v>
      </c>
      <c r="S17" s="118">
        <f t="shared" si="16"/>
        <v>1228200</v>
      </c>
      <c r="T17" s="118">
        <f t="shared" si="17"/>
        <v>1140000</v>
      </c>
      <c r="U17" s="118">
        <f t="shared" si="18"/>
        <v>45600</v>
      </c>
      <c r="V17" s="118">
        <f t="shared" si="19"/>
        <v>45600</v>
      </c>
      <c r="W17" s="118">
        <f t="shared" si="20"/>
        <v>0</v>
      </c>
      <c r="X17" s="118">
        <f t="shared" si="21"/>
        <v>110000</v>
      </c>
      <c r="Y17" s="118">
        <f t="shared" si="22"/>
        <v>22000</v>
      </c>
      <c r="Z17" s="118">
        <f t="shared" si="23"/>
        <v>223200</v>
      </c>
      <c r="AA17" s="118">
        <f t="shared" si="24"/>
        <v>1005000</v>
      </c>
    </row>
    <row r="18" spans="1:27" ht="12.75" outlineLevel="2" thickTop="1" thickBot="1" x14ac:dyDescent="0.25">
      <c r="A18" s="114" t="s">
        <v>39</v>
      </c>
      <c r="B18" s="115" t="str">
        <f t="shared" si="0"/>
        <v>Francy Ruby Román</v>
      </c>
      <c r="C18" s="115" t="str">
        <f t="shared" si="1"/>
        <v>Auxiliar Contable</v>
      </c>
      <c r="D18" s="116">
        <v>30</v>
      </c>
      <c r="E18" s="117">
        <f t="shared" si="2"/>
        <v>36666.666666666664</v>
      </c>
      <c r="F18" s="118">
        <f t="shared" si="3"/>
        <v>1100000</v>
      </c>
      <c r="G18" s="119">
        <f t="shared" si="4"/>
        <v>0</v>
      </c>
      <c r="H18" s="119">
        <f t="shared" si="5"/>
        <v>0</v>
      </c>
      <c r="I18" s="119">
        <f t="shared" si="6"/>
        <v>0</v>
      </c>
      <c r="J18" s="119">
        <f t="shared" si="7"/>
        <v>0</v>
      </c>
      <c r="K18" s="118">
        <f t="shared" si="8"/>
        <v>0</v>
      </c>
      <c r="L18" s="118">
        <f t="shared" si="9"/>
        <v>0</v>
      </c>
      <c r="M18" s="118">
        <f t="shared" si="10"/>
        <v>0</v>
      </c>
      <c r="N18" s="118">
        <f t="shared" si="11"/>
        <v>0</v>
      </c>
      <c r="O18" s="118">
        <f t="shared" si="12"/>
        <v>0</v>
      </c>
      <c r="P18" s="118">
        <f t="shared" si="13"/>
        <v>88200</v>
      </c>
      <c r="Q18" s="118">
        <f t="shared" si="14"/>
        <v>0</v>
      </c>
      <c r="R18" s="118">
        <f t="shared" si="15"/>
        <v>40000</v>
      </c>
      <c r="S18" s="118">
        <f t="shared" si="16"/>
        <v>1228200</v>
      </c>
      <c r="T18" s="118">
        <f t="shared" si="17"/>
        <v>1140000</v>
      </c>
      <c r="U18" s="118">
        <f t="shared" si="18"/>
        <v>45600</v>
      </c>
      <c r="V18" s="118">
        <f t="shared" si="19"/>
        <v>45600</v>
      </c>
      <c r="W18" s="118">
        <f t="shared" si="20"/>
        <v>0</v>
      </c>
      <c r="X18" s="118">
        <f t="shared" si="21"/>
        <v>110000</v>
      </c>
      <c r="Y18" s="118">
        <f t="shared" si="22"/>
        <v>22000</v>
      </c>
      <c r="Z18" s="118">
        <f t="shared" si="23"/>
        <v>223200</v>
      </c>
      <c r="AA18" s="118">
        <f t="shared" si="24"/>
        <v>1005000</v>
      </c>
    </row>
    <row r="19" spans="1:27" ht="12.75" outlineLevel="2" thickTop="1" thickBot="1" x14ac:dyDescent="0.25">
      <c r="A19" s="114" t="s">
        <v>45</v>
      </c>
      <c r="B19" s="115" t="str">
        <f t="shared" si="0"/>
        <v>Leidy Rosalía Galvis</v>
      </c>
      <c r="C19" s="115" t="str">
        <f t="shared" si="1"/>
        <v>Auxiliar Contable</v>
      </c>
      <c r="D19" s="116">
        <v>30</v>
      </c>
      <c r="E19" s="117">
        <f t="shared" si="2"/>
        <v>36666.666666666664</v>
      </c>
      <c r="F19" s="118">
        <f t="shared" si="3"/>
        <v>1100000</v>
      </c>
      <c r="G19" s="119">
        <f t="shared" si="4"/>
        <v>0</v>
      </c>
      <c r="H19" s="119">
        <f t="shared" si="5"/>
        <v>0</v>
      </c>
      <c r="I19" s="119">
        <f t="shared" si="6"/>
        <v>0</v>
      </c>
      <c r="J19" s="119">
        <f t="shared" si="7"/>
        <v>0</v>
      </c>
      <c r="K19" s="118">
        <f t="shared" si="8"/>
        <v>0</v>
      </c>
      <c r="L19" s="118">
        <f t="shared" si="9"/>
        <v>0</v>
      </c>
      <c r="M19" s="118">
        <f t="shared" si="10"/>
        <v>0</v>
      </c>
      <c r="N19" s="118">
        <f t="shared" si="11"/>
        <v>0</v>
      </c>
      <c r="O19" s="118">
        <f t="shared" si="12"/>
        <v>0</v>
      </c>
      <c r="P19" s="118">
        <f t="shared" si="13"/>
        <v>88200</v>
      </c>
      <c r="Q19" s="118">
        <f t="shared" si="14"/>
        <v>0</v>
      </c>
      <c r="R19" s="118">
        <f t="shared" si="15"/>
        <v>40000</v>
      </c>
      <c r="S19" s="118">
        <f t="shared" si="16"/>
        <v>1228200</v>
      </c>
      <c r="T19" s="118">
        <f t="shared" si="17"/>
        <v>1140000</v>
      </c>
      <c r="U19" s="118">
        <f t="shared" si="18"/>
        <v>45600</v>
      </c>
      <c r="V19" s="118">
        <f t="shared" si="19"/>
        <v>45600</v>
      </c>
      <c r="W19" s="118">
        <f t="shared" si="20"/>
        <v>0</v>
      </c>
      <c r="X19" s="118">
        <f t="shared" si="21"/>
        <v>110000</v>
      </c>
      <c r="Y19" s="118">
        <f t="shared" si="22"/>
        <v>22000</v>
      </c>
      <c r="Z19" s="118">
        <f t="shared" si="23"/>
        <v>223200</v>
      </c>
      <c r="AA19" s="118">
        <f t="shared" si="24"/>
        <v>1005000</v>
      </c>
    </row>
    <row r="20" spans="1:27" ht="12.75" outlineLevel="2" thickTop="1" thickBot="1" x14ac:dyDescent="0.25">
      <c r="A20" s="114" t="s">
        <v>51</v>
      </c>
      <c r="B20" s="115" t="str">
        <f t="shared" si="0"/>
        <v>Luz Enith Betancur</v>
      </c>
      <c r="C20" s="115" t="str">
        <f t="shared" si="1"/>
        <v>Auxiliar Contable</v>
      </c>
      <c r="D20" s="116">
        <v>30</v>
      </c>
      <c r="E20" s="117">
        <f t="shared" si="2"/>
        <v>36666.666666666664</v>
      </c>
      <c r="F20" s="118">
        <f t="shared" si="3"/>
        <v>1100000</v>
      </c>
      <c r="G20" s="119">
        <f t="shared" si="4"/>
        <v>0</v>
      </c>
      <c r="H20" s="119">
        <f t="shared" si="5"/>
        <v>0</v>
      </c>
      <c r="I20" s="119">
        <f t="shared" si="6"/>
        <v>0</v>
      </c>
      <c r="J20" s="119">
        <f t="shared" si="7"/>
        <v>0</v>
      </c>
      <c r="K20" s="118">
        <f t="shared" si="8"/>
        <v>0</v>
      </c>
      <c r="L20" s="118">
        <f t="shared" si="9"/>
        <v>0</v>
      </c>
      <c r="M20" s="118">
        <f t="shared" si="10"/>
        <v>0</v>
      </c>
      <c r="N20" s="118">
        <f t="shared" si="11"/>
        <v>0</v>
      </c>
      <c r="O20" s="118">
        <f t="shared" si="12"/>
        <v>0</v>
      </c>
      <c r="P20" s="118">
        <f t="shared" si="13"/>
        <v>88200</v>
      </c>
      <c r="Q20" s="118">
        <f t="shared" si="14"/>
        <v>0</v>
      </c>
      <c r="R20" s="118">
        <f t="shared" si="15"/>
        <v>40000</v>
      </c>
      <c r="S20" s="118">
        <f t="shared" si="16"/>
        <v>1228200</v>
      </c>
      <c r="T20" s="118">
        <f t="shared" si="17"/>
        <v>1140000</v>
      </c>
      <c r="U20" s="118">
        <f t="shared" si="18"/>
        <v>45600</v>
      </c>
      <c r="V20" s="118">
        <f t="shared" si="19"/>
        <v>45600</v>
      </c>
      <c r="W20" s="118">
        <f t="shared" si="20"/>
        <v>0</v>
      </c>
      <c r="X20" s="118">
        <f t="shared" si="21"/>
        <v>110000</v>
      </c>
      <c r="Y20" s="118">
        <f t="shared" si="22"/>
        <v>22000</v>
      </c>
      <c r="Z20" s="118">
        <f t="shared" si="23"/>
        <v>223200</v>
      </c>
      <c r="AA20" s="118">
        <f t="shared" si="24"/>
        <v>1005000</v>
      </c>
    </row>
    <row r="21" spans="1:27" ht="12.75" outlineLevel="2" thickTop="1" thickBot="1" x14ac:dyDescent="0.25">
      <c r="A21" s="114" t="s">
        <v>68</v>
      </c>
      <c r="B21" s="115" t="str">
        <f t="shared" si="0"/>
        <v>Yeisón Fernando García</v>
      </c>
      <c r="C21" s="115" t="str">
        <f t="shared" si="1"/>
        <v>Auxiliar Contable</v>
      </c>
      <c r="D21" s="116">
        <v>30</v>
      </c>
      <c r="E21" s="117">
        <f t="shared" si="2"/>
        <v>36666.666666666664</v>
      </c>
      <c r="F21" s="118">
        <f t="shared" si="3"/>
        <v>1100000</v>
      </c>
      <c r="G21" s="119">
        <f t="shared" si="4"/>
        <v>0</v>
      </c>
      <c r="H21" s="119">
        <f t="shared" si="5"/>
        <v>0</v>
      </c>
      <c r="I21" s="119">
        <f t="shared" si="6"/>
        <v>0</v>
      </c>
      <c r="J21" s="119">
        <f t="shared" si="7"/>
        <v>0</v>
      </c>
      <c r="K21" s="118">
        <f t="shared" si="8"/>
        <v>0</v>
      </c>
      <c r="L21" s="118">
        <f t="shared" si="9"/>
        <v>0</v>
      </c>
      <c r="M21" s="118">
        <f t="shared" si="10"/>
        <v>0</v>
      </c>
      <c r="N21" s="118">
        <f t="shared" si="11"/>
        <v>0</v>
      </c>
      <c r="O21" s="118">
        <f t="shared" si="12"/>
        <v>0</v>
      </c>
      <c r="P21" s="118">
        <f t="shared" si="13"/>
        <v>88200</v>
      </c>
      <c r="Q21" s="118">
        <f t="shared" si="14"/>
        <v>0</v>
      </c>
      <c r="R21" s="118">
        <f t="shared" si="15"/>
        <v>40000</v>
      </c>
      <c r="S21" s="118">
        <f t="shared" si="16"/>
        <v>1228200</v>
      </c>
      <c r="T21" s="118">
        <f t="shared" si="17"/>
        <v>1140000</v>
      </c>
      <c r="U21" s="118">
        <f t="shared" si="18"/>
        <v>45600</v>
      </c>
      <c r="V21" s="118">
        <f t="shared" si="19"/>
        <v>45600</v>
      </c>
      <c r="W21" s="118">
        <f t="shared" si="20"/>
        <v>0</v>
      </c>
      <c r="X21" s="118">
        <f t="shared" si="21"/>
        <v>110000</v>
      </c>
      <c r="Y21" s="118">
        <f t="shared" si="22"/>
        <v>22000</v>
      </c>
      <c r="Z21" s="118">
        <f t="shared" si="23"/>
        <v>223200</v>
      </c>
      <c r="AA21" s="118">
        <f t="shared" si="24"/>
        <v>1005000</v>
      </c>
    </row>
    <row r="22" spans="1:27" ht="12.75" outlineLevel="2" thickTop="1" thickBot="1" x14ac:dyDescent="0.25">
      <c r="A22" s="114" t="s">
        <v>70</v>
      </c>
      <c r="B22" s="115" t="str">
        <f t="shared" si="0"/>
        <v>Yohiner Tangarife</v>
      </c>
      <c r="C22" s="115" t="str">
        <f t="shared" si="1"/>
        <v>Auxiliar Contable</v>
      </c>
      <c r="D22" s="116">
        <v>30</v>
      </c>
      <c r="E22" s="117">
        <f t="shared" si="2"/>
        <v>36666.666666666664</v>
      </c>
      <c r="F22" s="118">
        <f t="shared" si="3"/>
        <v>1100000</v>
      </c>
      <c r="G22" s="119">
        <f t="shared" si="4"/>
        <v>0</v>
      </c>
      <c r="H22" s="119">
        <f t="shared" si="5"/>
        <v>0</v>
      </c>
      <c r="I22" s="119">
        <f t="shared" si="6"/>
        <v>0</v>
      </c>
      <c r="J22" s="119">
        <f t="shared" si="7"/>
        <v>0</v>
      </c>
      <c r="K22" s="118">
        <f t="shared" si="8"/>
        <v>0</v>
      </c>
      <c r="L22" s="118">
        <f t="shared" si="9"/>
        <v>0</v>
      </c>
      <c r="M22" s="118">
        <f t="shared" si="10"/>
        <v>0</v>
      </c>
      <c r="N22" s="118">
        <f t="shared" si="11"/>
        <v>0</v>
      </c>
      <c r="O22" s="118">
        <f t="shared" si="12"/>
        <v>0</v>
      </c>
      <c r="P22" s="118">
        <f t="shared" si="13"/>
        <v>88200</v>
      </c>
      <c r="Q22" s="118">
        <f t="shared" si="14"/>
        <v>0</v>
      </c>
      <c r="R22" s="118">
        <f t="shared" si="15"/>
        <v>40000</v>
      </c>
      <c r="S22" s="118">
        <f t="shared" si="16"/>
        <v>1228200</v>
      </c>
      <c r="T22" s="118">
        <f t="shared" si="17"/>
        <v>1140000</v>
      </c>
      <c r="U22" s="118">
        <f t="shared" si="18"/>
        <v>45600</v>
      </c>
      <c r="V22" s="118">
        <f t="shared" si="19"/>
        <v>45600</v>
      </c>
      <c r="W22" s="118">
        <f t="shared" si="20"/>
        <v>0</v>
      </c>
      <c r="X22" s="118">
        <f t="shared" si="21"/>
        <v>110000</v>
      </c>
      <c r="Y22" s="118">
        <f t="shared" si="22"/>
        <v>22000</v>
      </c>
      <c r="Z22" s="118">
        <f t="shared" si="23"/>
        <v>223200</v>
      </c>
      <c r="AA22" s="118">
        <f t="shared" si="24"/>
        <v>1005000</v>
      </c>
    </row>
    <row r="23" spans="1:27" ht="12.75" outlineLevel="1" thickTop="1" thickBot="1" x14ac:dyDescent="0.25">
      <c r="A23" s="114"/>
      <c r="B23" s="115"/>
      <c r="C23" s="154" t="s">
        <v>181</v>
      </c>
      <c r="D23" s="116"/>
      <c r="E23" s="117"/>
      <c r="F23" s="155">
        <f>SUBTOTAL(9,F16:F22)</f>
        <v>7700000</v>
      </c>
      <c r="G23" s="119"/>
      <c r="H23" s="119"/>
      <c r="I23" s="119"/>
      <c r="J23" s="119"/>
      <c r="K23" s="118"/>
      <c r="L23" s="118"/>
      <c r="M23" s="118"/>
      <c r="N23" s="118"/>
      <c r="O23" s="118"/>
      <c r="P23" s="118"/>
      <c r="Q23" s="118"/>
      <c r="R23" s="118"/>
      <c r="S23" s="155">
        <f>SUBTOTAL(9,S16:S22)</f>
        <v>8597400</v>
      </c>
      <c r="T23" s="118"/>
      <c r="U23" s="118"/>
      <c r="V23" s="118"/>
      <c r="W23" s="118"/>
      <c r="X23" s="118"/>
      <c r="Y23" s="118"/>
      <c r="Z23" s="155">
        <f>SUBTOTAL(9,Z16:Z22)</f>
        <v>1562400</v>
      </c>
      <c r="AA23" s="155">
        <f>SUBTOTAL(9,AA16:AA22)</f>
        <v>7035000</v>
      </c>
    </row>
    <row r="24" spans="1:27" ht="12.75" outlineLevel="2" thickTop="1" thickBot="1" x14ac:dyDescent="0.25">
      <c r="A24" s="114" t="s">
        <v>5</v>
      </c>
      <c r="B24" s="115" t="str">
        <f>IF(ISBLANK(A24),"",IF(ISERROR(VLOOKUP(A24,bdempleados,2,FALSE)),"EL DATO NO EXISTE",VLOOKUP(A24,bdempleados,2,FALSE)))</f>
        <v>Ospina Borja Pedro Nel</v>
      </c>
      <c r="C24" s="115" t="str">
        <f>VLOOKUP(A24,bdempleados,3,FALSE)</f>
        <v>Digitador</v>
      </c>
      <c r="D24" s="116">
        <v>30</v>
      </c>
      <c r="E24" s="117">
        <f>VLOOKUP(A24,bdempleados,5,FALSE)</f>
        <v>30000</v>
      </c>
      <c r="F24" s="118">
        <f>E24*30</f>
        <v>900000</v>
      </c>
      <c r="G24" s="119">
        <f>IF(OR(C24="OPERARIO",C24="OPERARIA"),5,0)</f>
        <v>0</v>
      </c>
      <c r="H24" s="119">
        <f>IF(OR(C24="OPERARIO",C24="OPERARIA"),4,0)</f>
        <v>0</v>
      </c>
      <c r="I24" s="119">
        <f>IF(OR(C24="OPERARIO",C24="OPERARIA"),2,0)</f>
        <v>0</v>
      </c>
      <c r="J24" s="119">
        <f>IF(OR(C24="OPERARIO",DD12="OPERARIA"),1,0)</f>
        <v>0</v>
      </c>
      <c r="K24" s="118">
        <f>F24/240*$U$57*G24</f>
        <v>0</v>
      </c>
      <c r="L24" s="118">
        <f>F24/240*$U$58*H24</f>
        <v>0</v>
      </c>
      <c r="M24" s="118">
        <f>F24/240*$U$59*I24</f>
        <v>0</v>
      </c>
      <c r="N24" s="118">
        <f>F24/240*$U$60*J24</f>
        <v>0</v>
      </c>
      <c r="O24" s="118">
        <f>K24+L24+M24+N24</f>
        <v>0</v>
      </c>
      <c r="P24" s="118">
        <f>IF(AND(D24&gt;30,F24&gt;$P$8),0,IF(AND(D24&lt;=30,F24&lt;=$P$8),D24*2940,0))</f>
        <v>88200</v>
      </c>
      <c r="Q24" s="118">
        <f>IF(C24="Vendedor",$O$62*0.03%,0)</f>
        <v>0</v>
      </c>
      <c r="R24" s="118">
        <f>IF(F24&gt;=900000,$O$62*$O$66,O71*$Q$66)</f>
        <v>40000</v>
      </c>
      <c r="S24" s="118">
        <f>F24+O24+P24+Q24+R24</f>
        <v>1028200</v>
      </c>
      <c r="T24" s="118">
        <f>S24-P24</f>
        <v>940000</v>
      </c>
      <c r="U24" s="118">
        <f>T24*$O$58</f>
        <v>37600</v>
      </c>
      <c r="V24" s="118">
        <f>T24*$O$59</f>
        <v>37600</v>
      </c>
      <c r="W24" s="118">
        <f>IF(F24&gt;$R$8,F24*$O$60,0)</f>
        <v>0</v>
      </c>
      <c r="X24" s="118">
        <f>IF(AND(F24&gt;=850000,F24&lt;=1000000),F24*$Q$64,IF(AND(F24&gt;=1000001,F24&lt;=9000000),F24*$P$64,F24*$R$64))</f>
        <v>63000.000000000007</v>
      </c>
      <c r="Y24" s="118">
        <f>IF(F24&lt;800000,F24*$O$65,F24*$P$65)</f>
        <v>18000</v>
      </c>
      <c r="Z24" s="118">
        <f>U24+V24+W24+X24+Y24</f>
        <v>156200</v>
      </c>
      <c r="AA24" s="118">
        <f>S24-Z24</f>
        <v>872000</v>
      </c>
    </row>
    <row r="25" spans="1:27" ht="12.75" outlineLevel="2" thickTop="1" thickBot="1" x14ac:dyDescent="0.25">
      <c r="A25" s="114" t="s">
        <v>29</v>
      </c>
      <c r="B25" s="115" t="str">
        <f>IF(ISBLANK(A25),"",IF(ISERROR(VLOOKUP(A25,bdempleados,2,FALSE)),"EL DATO NO EXISTE",VLOOKUP(A25,bdempleados,2,FALSE)))</f>
        <v>Didier Alejandro Sánchez</v>
      </c>
      <c r="C25" s="115" t="str">
        <f>VLOOKUP(A25,bdempleados,3,FALSE)</f>
        <v>Digitador</v>
      </c>
      <c r="D25" s="116">
        <v>30</v>
      </c>
      <c r="E25" s="117">
        <f>VLOOKUP(A25,bdempleados,5,FALSE)</f>
        <v>30000</v>
      </c>
      <c r="F25" s="118">
        <f>E25*30</f>
        <v>900000</v>
      </c>
      <c r="G25" s="119">
        <f>IF(OR(C25="OPERARIO",C25="OPERARIA"),5,0)</f>
        <v>0</v>
      </c>
      <c r="H25" s="119">
        <f>IF(OR(C25="OPERARIO",C25="OPERARIA"),4,0)</f>
        <v>0</v>
      </c>
      <c r="I25" s="119">
        <f>IF(OR(C25="OPERARIO",C25="OPERARIA"),2,0)</f>
        <v>0</v>
      </c>
      <c r="J25" s="119">
        <f>IF(OR(C25="OPERARIO",DD13="OPERARIA"),1,0)</f>
        <v>0</v>
      </c>
      <c r="K25" s="118">
        <f>F25/240*$U$57*G25</f>
        <v>0</v>
      </c>
      <c r="L25" s="118">
        <f>F25/240*$U$58*H25</f>
        <v>0</v>
      </c>
      <c r="M25" s="118">
        <f>F25/240*$U$59*I25</f>
        <v>0</v>
      </c>
      <c r="N25" s="118">
        <f>F25/240*$U$60*J25</f>
        <v>0</v>
      </c>
      <c r="O25" s="118">
        <f>K25+L25+M25+N25</f>
        <v>0</v>
      </c>
      <c r="P25" s="118">
        <f>IF(AND(D25&gt;30,F25&gt;$P$8),0,IF(AND(D25&lt;=30,F25&lt;=$P$8),D25*2940,0))</f>
        <v>88200</v>
      </c>
      <c r="Q25" s="118">
        <f>IF(C25="Vendedor",$O$62*0.03%,0)</f>
        <v>0</v>
      </c>
      <c r="R25" s="118">
        <f>IF(F25&gt;=900000,$O$62*$O$66,O72*$Q$66)</f>
        <v>40000</v>
      </c>
      <c r="S25" s="118">
        <f>F25+O25+P25+Q25+R25</f>
        <v>1028200</v>
      </c>
      <c r="T25" s="118">
        <f>S25-P25</f>
        <v>940000</v>
      </c>
      <c r="U25" s="118">
        <f>T25*$O$58</f>
        <v>37600</v>
      </c>
      <c r="V25" s="118">
        <f>T25*$O$59</f>
        <v>37600</v>
      </c>
      <c r="W25" s="118">
        <f>IF(F25&gt;$R$8,F25*$O$60,0)</f>
        <v>0</v>
      </c>
      <c r="X25" s="118">
        <f>IF(AND(F25&gt;=850000,F25&lt;=1000000),F25*$Q$64,IF(AND(F25&gt;=1000001,F25&lt;=9000000),F25*$P$64,F25*$R$64))</f>
        <v>63000.000000000007</v>
      </c>
      <c r="Y25" s="118">
        <f>IF(F25&lt;800000,F25*$O$65,F25*$P$65)</f>
        <v>18000</v>
      </c>
      <c r="Z25" s="118">
        <f>U25+V25+W25+X25+Y25</f>
        <v>156200</v>
      </c>
      <c r="AA25" s="118">
        <f>S25-Z25</f>
        <v>872000</v>
      </c>
    </row>
    <row r="26" spans="1:27" ht="12.75" outlineLevel="2" thickTop="1" thickBot="1" x14ac:dyDescent="0.25">
      <c r="A26" s="114" t="s">
        <v>47</v>
      </c>
      <c r="B26" s="115" t="str">
        <f>IF(ISBLANK(A26),"",IF(ISERROR(VLOOKUP(A26,bdempleados,2,FALSE)),"EL DATO NO EXISTE",VLOOKUP(A26,bdempleados,2,FALSE)))</f>
        <v>Luis Fernando Vanegas</v>
      </c>
      <c r="C26" s="115" t="str">
        <f>VLOOKUP(A26,bdempleados,3,FALSE)</f>
        <v>Digitador</v>
      </c>
      <c r="D26" s="116">
        <v>30</v>
      </c>
      <c r="E26" s="117">
        <f>VLOOKUP(A26,bdempleados,5,FALSE)</f>
        <v>30000</v>
      </c>
      <c r="F26" s="118">
        <f>E26*30</f>
        <v>900000</v>
      </c>
      <c r="G26" s="119">
        <f>IF(OR(C26="OPERARIO",C26="OPERARIA"),5,0)</f>
        <v>0</v>
      </c>
      <c r="H26" s="119">
        <f>IF(OR(C26="OPERARIO",C26="OPERARIA"),4,0)</f>
        <v>0</v>
      </c>
      <c r="I26" s="119">
        <f>IF(OR(C26="OPERARIO",C26="OPERARIA"),2,0)</f>
        <v>0</v>
      </c>
      <c r="J26" s="119">
        <f>IF(OR(C26="OPERARIO",DD14="OPERARIA"),1,0)</f>
        <v>0</v>
      </c>
      <c r="K26" s="118">
        <f>F26/240*$U$57*G26</f>
        <v>0</v>
      </c>
      <c r="L26" s="118">
        <f>F26/240*$U$58*H26</f>
        <v>0</v>
      </c>
      <c r="M26" s="118">
        <f>F26/240*$U$59*I26</f>
        <v>0</v>
      </c>
      <c r="N26" s="118">
        <f>F26/240*$U$60*J26</f>
        <v>0</v>
      </c>
      <c r="O26" s="118">
        <f>K26+L26+M26+N26</f>
        <v>0</v>
      </c>
      <c r="P26" s="118">
        <f>IF(AND(D26&gt;30,F26&gt;$P$8),0,IF(AND(D26&lt;=30,F26&lt;=$P$8),D26*2940,0))</f>
        <v>88200</v>
      </c>
      <c r="Q26" s="118">
        <f>IF(C26="Vendedor",$O$62*0.03%,0)</f>
        <v>0</v>
      </c>
      <c r="R26" s="118">
        <f>IF(F26&gt;=900000,$O$62*$O$66,O73*$Q$66)</f>
        <v>40000</v>
      </c>
      <c r="S26" s="118">
        <f>F26+O26+P26+Q26+R26</f>
        <v>1028200</v>
      </c>
      <c r="T26" s="118">
        <f>S26-P26</f>
        <v>940000</v>
      </c>
      <c r="U26" s="118">
        <f>T26*$O$58</f>
        <v>37600</v>
      </c>
      <c r="V26" s="118">
        <f>T26*$O$59</f>
        <v>37600</v>
      </c>
      <c r="W26" s="118">
        <f>IF(F26&gt;$R$8,F26*$O$60,0)</f>
        <v>0</v>
      </c>
      <c r="X26" s="118">
        <f>IF(AND(F26&gt;=850000,F26&lt;=1000000),F26*$Q$64,IF(AND(F26&gt;=1000001,F26&lt;=9000000),F26*$P$64,F26*$R$64))</f>
        <v>63000.000000000007</v>
      </c>
      <c r="Y26" s="118">
        <f>IF(F26&lt;800000,F26*$O$65,F26*$P$65)</f>
        <v>18000</v>
      </c>
      <c r="Z26" s="118">
        <f>U26+V26+W26+X26+Y26</f>
        <v>156200</v>
      </c>
      <c r="AA26" s="118">
        <f>S26-Z26</f>
        <v>872000</v>
      </c>
    </row>
    <row r="27" spans="1:27" ht="12.75" outlineLevel="1" thickTop="1" thickBot="1" x14ac:dyDescent="0.25">
      <c r="A27" s="114"/>
      <c r="B27" s="115"/>
      <c r="C27" s="154" t="s">
        <v>182</v>
      </c>
      <c r="D27" s="116"/>
      <c r="E27" s="117"/>
      <c r="F27" s="155">
        <f>SUBTOTAL(9,F24:F26)</f>
        <v>2700000</v>
      </c>
      <c r="G27" s="119"/>
      <c r="H27" s="119"/>
      <c r="I27" s="119"/>
      <c r="J27" s="119"/>
      <c r="K27" s="118"/>
      <c r="L27" s="118"/>
      <c r="M27" s="118"/>
      <c r="N27" s="118"/>
      <c r="O27" s="118"/>
      <c r="P27" s="118"/>
      <c r="Q27" s="118"/>
      <c r="R27" s="118"/>
      <c r="S27" s="155">
        <f>SUBTOTAL(9,S24:S26)</f>
        <v>3084600</v>
      </c>
      <c r="T27" s="118"/>
      <c r="U27" s="118"/>
      <c r="V27" s="118"/>
      <c r="W27" s="118"/>
      <c r="X27" s="118"/>
      <c r="Y27" s="118"/>
      <c r="Z27" s="155">
        <f>SUBTOTAL(9,Z24:Z26)</f>
        <v>468600</v>
      </c>
      <c r="AA27" s="155">
        <f>SUBTOTAL(9,AA24:AA26)</f>
        <v>2616000</v>
      </c>
    </row>
    <row r="28" spans="1:27" ht="12.75" outlineLevel="2" thickTop="1" thickBot="1" x14ac:dyDescent="0.25">
      <c r="A28" s="114" t="s">
        <v>55</v>
      </c>
      <c r="B28" s="115" t="str">
        <f>IF(ISBLANK(A28),"",IF(ISERROR(VLOOKUP(A28,bdempleados,2,FALSE)),"EL DATO NO EXISTE",VLOOKUP(A28,bdempleados,2,FALSE)))</f>
        <v>Martha Deisy Ceballos</v>
      </c>
      <c r="C28" s="115" t="str">
        <f>VLOOKUP(A28,bdempleados,3,FALSE)</f>
        <v>Digitadora</v>
      </c>
      <c r="D28" s="116">
        <v>30</v>
      </c>
      <c r="E28" s="117">
        <f>VLOOKUP(A28,bdempleados,5,FALSE)</f>
        <v>30000</v>
      </c>
      <c r="F28" s="118">
        <f>E28*30</f>
        <v>900000</v>
      </c>
      <c r="G28" s="119">
        <f>IF(OR(C28="OPERARIO",C28="OPERARIA"),5,0)</f>
        <v>0</v>
      </c>
      <c r="H28" s="119">
        <f>IF(OR(C28="OPERARIO",C28="OPERARIA"),4,0)</f>
        <v>0</v>
      </c>
      <c r="I28" s="119">
        <f>IF(OR(C28="OPERARIO",C28="OPERARIA"),2,0)</f>
        <v>0</v>
      </c>
      <c r="J28" s="119">
        <f>IF(OR(C28="OPERARIO",DD16="OPERARIA"),1,0)</f>
        <v>0</v>
      </c>
      <c r="K28" s="118">
        <f>F28/240*$U$57*G28</f>
        <v>0</v>
      </c>
      <c r="L28" s="118">
        <f>F28/240*$U$58*H28</f>
        <v>0</v>
      </c>
      <c r="M28" s="118">
        <f>F28/240*$U$59*I28</f>
        <v>0</v>
      </c>
      <c r="N28" s="118">
        <f>F28/240*$U$60*J28</f>
        <v>0</v>
      </c>
      <c r="O28" s="118">
        <f>K28+L28+M28+N28</f>
        <v>0</v>
      </c>
      <c r="P28" s="118">
        <f>IF(AND(D28&gt;30,F28&gt;$P$8),0,IF(AND(D28&lt;=30,F28&lt;=$P$8),D28*2940,0))</f>
        <v>88200</v>
      </c>
      <c r="Q28" s="118">
        <f>IF(C28="Vendedor",$O$62*0.03%,0)</f>
        <v>0</v>
      </c>
      <c r="R28" s="118">
        <f>IF(F28&gt;=900000,$O$62*$O$66,O74*$Q$66)</f>
        <v>40000</v>
      </c>
      <c r="S28" s="118">
        <f>F28+O28+P28+Q28+R28</f>
        <v>1028200</v>
      </c>
      <c r="T28" s="118">
        <f>S28-P28</f>
        <v>940000</v>
      </c>
      <c r="U28" s="118">
        <f>T28*$O$58</f>
        <v>37600</v>
      </c>
      <c r="V28" s="118">
        <f>T28*$O$59</f>
        <v>37600</v>
      </c>
      <c r="W28" s="118">
        <f>IF(F28&gt;$R$8,F28*$O$60,0)</f>
        <v>0</v>
      </c>
      <c r="X28" s="118">
        <f>IF(AND(F28&gt;=850000,F28&lt;=1000000),F28*$Q$64,IF(AND(F28&gt;=1000001,F28&lt;=9000000),F28*$P$64,F28*$R$64))</f>
        <v>63000.000000000007</v>
      </c>
      <c r="Y28" s="118">
        <f>IF(F28&lt;800000,F28*$O$65,F28*$P$65)</f>
        <v>18000</v>
      </c>
      <c r="Z28" s="118">
        <f>U28+V28+W28+X28+Y28</f>
        <v>156200</v>
      </c>
      <c r="AA28" s="118">
        <f>S28-Z28</f>
        <v>872000</v>
      </c>
    </row>
    <row r="29" spans="1:27" ht="12.75" outlineLevel="2" thickTop="1" thickBot="1" x14ac:dyDescent="0.25">
      <c r="A29" s="114" t="s">
        <v>72</v>
      </c>
      <c r="B29" s="115" t="str">
        <f>IF(ISBLANK(A29),"",IF(ISERROR(VLOOKUP(A29,bdempleados,2,FALSE)),"EL DATO NO EXISTE",VLOOKUP(A29,bdempleados,2,FALSE)))</f>
        <v>Yuliana Cardona</v>
      </c>
      <c r="C29" s="115" t="str">
        <f>VLOOKUP(A29,bdempleados,3,FALSE)</f>
        <v>Digitadora</v>
      </c>
      <c r="D29" s="116">
        <v>30</v>
      </c>
      <c r="E29" s="117">
        <f>VLOOKUP(A29,bdempleados,5,FALSE)</f>
        <v>30000</v>
      </c>
      <c r="F29" s="118">
        <f>E29*30</f>
        <v>900000</v>
      </c>
      <c r="G29" s="119">
        <f>IF(OR(C29="OPERARIO",C29="OPERARIA"),5,0)</f>
        <v>0</v>
      </c>
      <c r="H29" s="119">
        <f>IF(OR(C29="OPERARIO",C29="OPERARIA"),4,0)</f>
        <v>0</v>
      </c>
      <c r="I29" s="119">
        <f>IF(OR(C29="OPERARIO",C29="OPERARIA"),2,0)</f>
        <v>0</v>
      </c>
      <c r="J29" s="119">
        <f>IF(OR(C29="OPERARIO",DD17="OPERARIA"),1,0)</f>
        <v>0</v>
      </c>
      <c r="K29" s="118">
        <f>F29/240*$U$57*G29</f>
        <v>0</v>
      </c>
      <c r="L29" s="118">
        <f>F29/240*$U$58*H29</f>
        <v>0</v>
      </c>
      <c r="M29" s="118">
        <f>F29/240*$U$59*I29</f>
        <v>0</v>
      </c>
      <c r="N29" s="118">
        <f>F29/240*$U$60*J29</f>
        <v>0</v>
      </c>
      <c r="O29" s="118">
        <f>K29+L29+M29+N29</f>
        <v>0</v>
      </c>
      <c r="P29" s="118">
        <f>IF(AND(D29&gt;30,F29&gt;$P$8),0,IF(AND(D29&lt;=30,F29&lt;=$P$8),D29*2940,0))</f>
        <v>88200</v>
      </c>
      <c r="Q29" s="118">
        <f>IF(C29="Vendedor",$O$62*0.03%,0)</f>
        <v>0</v>
      </c>
      <c r="R29" s="118">
        <f>IF(F29&gt;=900000,$O$62*$O$66,O75*$Q$66)</f>
        <v>40000</v>
      </c>
      <c r="S29" s="118">
        <f>F29+O29+P29+Q29+R29</f>
        <v>1028200</v>
      </c>
      <c r="T29" s="118">
        <f>S29-P29</f>
        <v>940000</v>
      </c>
      <c r="U29" s="118">
        <f>T29*$O$58</f>
        <v>37600</v>
      </c>
      <c r="V29" s="118">
        <f>T29*$O$59</f>
        <v>37600</v>
      </c>
      <c r="W29" s="118">
        <f>IF(F29&gt;$R$8,F29*$O$60,0)</f>
        <v>0</v>
      </c>
      <c r="X29" s="118">
        <f>IF(AND(F29&gt;=850000,F29&lt;=1000000),F29*$Q$64,IF(AND(F29&gt;=1000001,F29&lt;=9000000),F29*$P$64,F29*$R$64))</f>
        <v>63000.000000000007</v>
      </c>
      <c r="Y29" s="118">
        <f>IF(F29&lt;800000,F29*$O$65,F29*$P$65)</f>
        <v>18000</v>
      </c>
      <c r="Z29" s="118">
        <f>U29+V29+W29+X29+Y29</f>
        <v>156200</v>
      </c>
      <c r="AA29" s="118">
        <f>S29-Z29</f>
        <v>872000</v>
      </c>
    </row>
    <row r="30" spans="1:27" ht="12.75" outlineLevel="1" thickTop="1" thickBot="1" x14ac:dyDescent="0.25">
      <c r="A30" s="114"/>
      <c r="B30" s="115"/>
      <c r="C30" s="154" t="s">
        <v>183</v>
      </c>
      <c r="D30" s="116"/>
      <c r="E30" s="117"/>
      <c r="F30" s="155">
        <f>SUBTOTAL(9,F28:F29)</f>
        <v>1800000</v>
      </c>
      <c r="G30" s="119"/>
      <c r="H30" s="119"/>
      <c r="I30" s="119"/>
      <c r="J30" s="119"/>
      <c r="K30" s="118"/>
      <c r="L30" s="118"/>
      <c r="M30" s="118"/>
      <c r="N30" s="118"/>
      <c r="O30" s="118"/>
      <c r="P30" s="118"/>
      <c r="Q30" s="118"/>
      <c r="R30" s="118"/>
      <c r="S30" s="155">
        <f>SUBTOTAL(9,S28:S29)</f>
        <v>2056400</v>
      </c>
      <c r="T30" s="118"/>
      <c r="U30" s="118"/>
      <c r="V30" s="118"/>
      <c r="W30" s="118"/>
      <c r="X30" s="118"/>
      <c r="Y30" s="155"/>
      <c r="Z30" s="155">
        <f>SUBTOTAL(9,Z28:Z29)</f>
        <v>312400</v>
      </c>
      <c r="AA30" s="155">
        <f>SUBTOTAL(9,AA28:AA29)</f>
        <v>1744000</v>
      </c>
    </row>
    <row r="31" spans="1:27" ht="12.75" outlineLevel="2" thickTop="1" thickBot="1" x14ac:dyDescent="0.25">
      <c r="A31" s="114" t="s">
        <v>36</v>
      </c>
      <c r="B31" s="115" t="str">
        <f>IF(ISBLANK(A31),"",IF(ISERROR(VLOOKUP(A31,bdempleados,2,FALSE)),"EL DATO NO EXISTE",VLOOKUP(A31,bdempleados,2,FALSE)))</f>
        <v>Eliana Marcela Aguirre</v>
      </c>
      <c r="C31" s="115" t="str">
        <f>VLOOKUP(A31,bdempleados,3,FALSE)</f>
        <v>Gerente</v>
      </c>
      <c r="D31" s="116">
        <v>30</v>
      </c>
      <c r="E31" s="117">
        <f>VLOOKUP(A31,bdempleados,5,FALSE)</f>
        <v>300000</v>
      </c>
      <c r="F31" s="118">
        <f>E31*30</f>
        <v>9000000</v>
      </c>
      <c r="G31" s="119">
        <f>IF(OR(C31="OPERARIO",C31="OPERARIA"),5,0)</f>
        <v>0</v>
      </c>
      <c r="H31" s="119">
        <f>IF(OR(C31="OPERARIO",C31="OPERARIA"),4,0)</f>
        <v>0</v>
      </c>
      <c r="I31" s="119">
        <f>IF(OR(C31="OPERARIO",C31="OPERARIA"),2,0)</f>
        <v>0</v>
      </c>
      <c r="J31" s="119">
        <f>IF(OR(C31="OPERARIO",DD18="OPERARIA"),1,0)</f>
        <v>0</v>
      </c>
      <c r="K31" s="118">
        <f>F31/240*$U$57*G31</f>
        <v>0</v>
      </c>
      <c r="L31" s="118">
        <f>F31/240*$U$58*H31</f>
        <v>0</v>
      </c>
      <c r="M31" s="118">
        <f>F31/240*$U$59*I31</f>
        <v>0</v>
      </c>
      <c r="N31" s="118">
        <f>F31/240*$U$60*J31</f>
        <v>0</v>
      </c>
      <c r="O31" s="118">
        <f>K31+L31+M31+N31</f>
        <v>0</v>
      </c>
      <c r="P31" s="118">
        <f>IF(AND(D31&gt;30,F31&gt;$P$8),0,IF(AND(D31&lt;=30,F31&lt;=$P$8),D31*2940,0))</f>
        <v>0</v>
      </c>
      <c r="Q31" s="118">
        <f>IF(C31="Vendedor",$O$62*0.03%,0)</f>
        <v>0</v>
      </c>
      <c r="R31" s="118">
        <f>IF(F31&gt;=900000,$O$62*$O$66,O76*$Q$66)</f>
        <v>40000</v>
      </c>
      <c r="S31" s="118">
        <f>F31+O31+P31+Q31+R31</f>
        <v>9040000</v>
      </c>
      <c r="T31" s="118">
        <f>S31-P31</f>
        <v>9040000</v>
      </c>
      <c r="U31" s="118">
        <f>T31*70%*$O$58</f>
        <v>253120</v>
      </c>
      <c r="V31" s="118">
        <f>T31*70%*$O$59</f>
        <v>253120</v>
      </c>
      <c r="W31" s="118">
        <f>IF(F31&gt;$R$8,F31*70%*$O$60,0)</f>
        <v>63000</v>
      </c>
      <c r="X31" s="118">
        <f>IF(AND(F31&gt;=850000,F31&lt;=1000000),F31*$Q$64,IF(AND(F31&gt;=1000001,F31&lt;=9000000),F31*$P$64,F31*$R$64))*70%</f>
        <v>630000</v>
      </c>
      <c r="Y31" s="118">
        <f>IF(F31&lt;800000,F31*$O$65,F31*$P$65)*70%</f>
        <v>125999.99999999999</v>
      </c>
      <c r="Z31" s="118">
        <f>U31+V31+W31+X31+Y31</f>
        <v>1325240</v>
      </c>
      <c r="AA31" s="118">
        <f>S31-Z31</f>
        <v>7714760</v>
      </c>
    </row>
    <row r="32" spans="1:27" ht="12.75" outlineLevel="1" thickTop="1" thickBot="1" x14ac:dyDescent="0.25">
      <c r="A32" s="114"/>
      <c r="B32" s="115"/>
      <c r="C32" s="154" t="s">
        <v>184</v>
      </c>
      <c r="D32" s="116"/>
      <c r="E32" s="117"/>
      <c r="F32" s="155">
        <f>SUBTOTAL(9,F31:F31)</f>
        <v>9000000</v>
      </c>
      <c r="G32" s="119"/>
      <c r="H32" s="119"/>
      <c r="I32" s="119"/>
      <c r="J32" s="119"/>
      <c r="K32" s="118"/>
      <c r="L32" s="118"/>
      <c r="M32" s="118"/>
      <c r="N32" s="118"/>
      <c r="O32" s="118"/>
      <c r="P32" s="118"/>
      <c r="Q32" s="118"/>
      <c r="R32" s="118"/>
      <c r="S32" s="155">
        <f>SUBTOTAL(9,S31:S31)</f>
        <v>9040000</v>
      </c>
      <c r="T32" s="118"/>
      <c r="U32" s="118"/>
      <c r="V32" s="118"/>
      <c r="W32" s="118"/>
      <c r="X32" s="118"/>
      <c r="Y32" s="118"/>
      <c r="Z32" s="155">
        <f>SUBTOTAL(9,Z31:Z31)</f>
        <v>1325240</v>
      </c>
      <c r="AA32" s="155">
        <f>SUBTOTAL(9,AA31:AA31)</f>
        <v>7714760</v>
      </c>
    </row>
    <row r="33" spans="1:27" ht="12.75" outlineLevel="2" thickTop="1" thickBot="1" x14ac:dyDescent="0.25">
      <c r="A33" s="114" t="s">
        <v>33</v>
      </c>
      <c r="B33" s="115" t="str">
        <f t="shared" ref="B33:B38" si="25">IF(ISBLANK(A33),"",IF(ISERROR(VLOOKUP(A33,bdempleados,2,FALSE)),"EL DATO NO EXISTE",VLOOKUP(A33,bdempleados,2,FALSE)))</f>
        <v>Doralba Galeano</v>
      </c>
      <c r="C33" s="115" t="str">
        <f t="shared" ref="C33:C38" si="26">VLOOKUP(A33,bdempleados,3,FALSE)</f>
        <v>Operaria</v>
      </c>
      <c r="D33" s="116">
        <v>30</v>
      </c>
      <c r="E33" s="117">
        <f t="shared" ref="E33:E38" si="27">VLOOKUP(A33,bdempleados,5,FALSE)</f>
        <v>26041.4</v>
      </c>
      <c r="F33" s="118">
        <f t="shared" ref="F33:F38" si="28">E33*30</f>
        <v>781242</v>
      </c>
      <c r="G33" s="119">
        <f t="shared" ref="G33:G38" si="29">IF(OR(C33="OPERARIO",C33="OPERARIA"),5,0)</f>
        <v>5</v>
      </c>
      <c r="H33" s="119">
        <f t="shared" ref="H33:H38" si="30">IF(OR(C33="OPERARIO",C33="OPERARIA"),4,0)</f>
        <v>4</v>
      </c>
      <c r="I33" s="119">
        <f t="shared" ref="I33:I38" si="31">IF(OR(C33="OPERARIO",C33="OPERARIA"),2,0)</f>
        <v>2</v>
      </c>
      <c r="J33" s="119">
        <f t="shared" ref="J33:J38" si="32">IF(OR(C33="OPERARIO",C33="OPERARIA"),1,0)</f>
        <v>1</v>
      </c>
      <c r="K33" s="118">
        <f t="shared" ref="K33:K38" si="33">F33/240*$U$57*G33</f>
        <v>20344.84375</v>
      </c>
      <c r="L33" s="118">
        <f t="shared" ref="L33:L38" si="34">F33/240*$U$58*H33</f>
        <v>22786.225000000002</v>
      </c>
      <c r="M33" s="118">
        <f t="shared" ref="M33:M38" si="35">F33/240*$U$59*I33</f>
        <v>14648.2875</v>
      </c>
      <c r="N33" s="118">
        <f t="shared" ref="N33:N38" si="36">F33/240*$U$60*J33</f>
        <v>8951.7312500000007</v>
      </c>
      <c r="O33" s="118">
        <f t="shared" ref="O33:O38" si="37">K33+L33+M33+N33</f>
        <v>66731.087500000009</v>
      </c>
      <c r="P33" s="118">
        <f t="shared" ref="P33:P38" si="38">IF(AND(D33&gt;30,F33&gt;$P$8),0,IF(AND(D33&lt;=30,F33&lt;=$P$8),D33*2940,0))</f>
        <v>88200</v>
      </c>
      <c r="Q33" s="118">
        <f t="shared" ref="Q33:Q38" si="39">IF(C33="Vendedor",$O$62*0.03%,0)</f>
        <v>0</v>
      </c>
      <c r="R33" s="118">
        <f t="shared" ref="R33:R38" si="40">IF(F33&gt;=900000,$O$62*$O$66,O77*$Q$66)</f>
        <v>0</v>
      </c>
      <c r="S33" s="118">
        <f t="shared" ref="S33:S38" si="41">F33+O33+P33+Q33+R33</f>
        <v>936173.08750000002</v>
      </c>
      <c r="T33" s="118">
        <f t="shared" ref="T33:T38" si="42">S33-P33</f>
        <v>847973.08750000002</v>
      </c>
      <c r="U33" s="118">
        <f t="shared" ref="U33:U38" si="43">T33*$O$58</f>
        <v>33918.923500000004</v>
      </c>
      <c r="V33" s="118">
        <f t="shared" ref="V33:V38" si="44">T33*$O$59</f>
        <v>33918.923500000004</v>
      </c>
      <c r="W33" s="118">
        <f t="shared" ref="W33:W38" si="45">IF(F33&gt;$R$8,F33*$O$60,0)</f>
        <v>0</v>
      </c>
      <c r="X33" s="118">
        <f t="shared" ref="X33:X38" si="46">IF(AND(F33&gt;=850000,F33&lt;=1000000),F33*$Q$64,IF(AND(F33&gt;=1000001,F33&lt;=9000000),F33*$P$64,F33*$R$64))</f>
        <v>31249.68</v>
      </c>
      <c r="Y33" s="118">
        <f t="shared" ref="Y33:Y38" si="47">IF(F33&lt;800000,F33*$O$65,F33*$P$65)</f>
        <v>3906.21</v>
      </c>
      <c r="Z33" s="118">
        <f t="shared" ref="Z33:Z38" si="48">U33+V33+W33+X33+Y33</f>
        <v>102993.73700000001</v>
      </c>
      <c r="AA33" s="118">
        <f t="shared" ref="AA33:AA38" si="49">S33-Z33</f>
        <v>833179.35050000006</v>
      </c>
    </row>
    <row r="34" spans="1:27" ht="12.75" outlineLevel="2" thickTop="1" thickBot="1" x14ac:dyDescent="0.25">
      <c r="A34" s="114" t="s">
        <v>43</v>
      </c>
      <c r="B34" s="115" t="str">
        <f t="shared" si="25"/>
        <v>Leidy Maritza Herrera</v>
      </c>
      <c r="C34" s="115" t="str">
        <f t="shared" si="26"/>
        <v>Operaria</v>
      </c>
      <c r="D34" s="116">
        <v>30</v>
      </c>
      <c r="E34" s="117">
        <f t="shared" si="27"/>
        <v>26041.4</v>
      </c>
      <c r="F34" s="118">
        <f t="shared" si="28"/>
        <v>781242</v>
      </c>
      <c r="G34" s="119">
        <f t="shared" si="29"/>
        <v>5</v>
      </c>
      <c r="H34" s="119">
        <f t="shared" si="30"/>
        <v>4</v>
      </c>
      <c r="I34" s="119">
        <f t="shared" si="31"/>
        <v>2</v>
      </c>
      <c r="J34" s="119">
        <f t="shared" si="32"/>
        <v>1</v>
      </c>
      <c r="K34" s="118">
        <f t="shared" si="33"/>
        <v>20344.84375</v>
      </c>
      <c r="L34" s="118">
        <f t="shared" si="34"/>
        <v>22786.225000000002</v>
      </c>
      <c r="M34" s="118">
        <f t="shared" si="35"/>
        <v>14648.2875</v>
      </c>
      <c r="N34" s="118">
        <f t="shared" si="36"/>
        <v>8951.7312500000007</v>
      </c>
      <c r="O34" s="118">
        <f t="shared" si="37"/>
        <v>66731.087500000009</v>
      </c>
      <c r="P34" s="118">
        <f t="shared" si="38"/>
        <v>88200</v>
      </c>
      <c r="Q34" s="118">
        <f t="shared" si="39"/>
        <v>0</v>
      </c>
      <c r="R34" s="118">
        <f t="shared" si="40"/>
        <v>0</v>
      </c>
      <c r="S34" s="118">
        <f t="shared" si="41"/>
        <v>936173.08750000002</v>
      </c>
      <c r="T34" s="118">
        <f t="shared" si="42"/>
        <v>847973.08750000002</v>
      </c>
      <c r="U34" s="118">
        <f t="shared" si="43"/>
        <v>33918.923500000004</v>
      </c>
      <c r="V34" s="118">
        <f t="shared" si="44"/>
        <v>33918.923500000004</v>
      </c>
      <c r="W34" s="118">
        <f t="shared" si="45"/>
        <v>0</v>
      </c>
      <c r="X34" s="118">
        <f t="shared" si="46"/>
        <v>31249.68</v>
      </c>
      <c r="Y34" s="118">
        <f t="shared" si="47"/>
        <v>3906.21</v>
      </c>
      <c r="Z34" s="118">
        <f t="shared" si="48"/>
        <v>102993.73700000001</v>
      </c>
      <c r="AA34" s="118">
        <f t="shared" si="49"/>
        <v>833179.35050000006</v>
      </c>
    </row>
    <row r="35" spans="1:27" ht="12.75" outlineLevel="2" thickTop="1" thickBot="1" x14ac:dyDescent="0.25">
      <c r="A35" s="114" t="s">
        <v>53</v>
      </c>
      <c r="B35" s="115" t="str">
        <f t="shared" si="25"/>
        <v>Maricela López</v>
      </c>
      <c r="C35" s="115" t="str">
        <f t="shared" si="26"/>
        <v>Operaria</v>
      </c>
      <c r="D35" s="116">
        <v>30</v>
      </c>
      <c r="E35" s="117">
        <f t="shared" si="27"/>
        <v>26041.4</v>
      </c>
      <c r="F35" s="118">
        <f t="shared" si="28"/>
        <v>781242</v>
      </c>
      <c r="G35" s="119">
        <f t="shared" si="29"/>
        <v>5</v>
      </c>
      <c r="H35" s="119">
        <f t="shared" si="30"/>
        <v>4</v>
      </c>
      <c r="I35" s="119">
        <f t="shared" si="31"/>
        <v>2</v>
      </c>
      <c r="J35" s="119">
        <f t="shared" si="32"/>
        <v>1</v>
      </c>
      <c r="K35" s="118">
        <f t="shared" si="33"/>
        <v>20344.84375</v>
      </c>
      <c r="L35" s="118">
        <f t="shared" si="34"/>
        <v>22786.225000000002</v>
      </c>
      <c r="M35" s="118">
        <f t="shared" si="35"/>
        <v>14648.2875</v>
      </c>
      <c r="N35" s="118">
        <f t="shared" si="36"/>
        <v>8951.7312500000007</v>
      </c>
      <c r="O35" s="118">
        <f t="shared" si="37"/>
        <v>66731.087500000009</v>
      </c>
      <c r="P35" s="118">
        <f t="shared" si="38"/>
        <v>88200</v>
      </c>
      <c r="Q35" s="118">
        <f t="shared" si="39"/>
        <v>0</v>
      </c>
      <c r="R35" s="118">
        <f t="shared" si="40"/>
        <v>0</v>
      </c>
      <c r="S35" s="118">
        <f t="shared" si="41"/>
        <v>936173.08750000002</v>
      </c>
      <c r="T35" s="118">
        <f t="shared" si="42"/>
        <v>847973.08750000002</v>
      </c>
      <c r="U35" s="118">
        <f t="shared" si="43"/>
        <v>33918.923500000004</v>
      </c>
      <c r="V35" s="118">
        <f t="shared" si="44"/>
        <v>33918.923500000004</v>
      </c>
      <c r="W35" s="118">
        <f t="shared" si="45"/>
        <v>0</v>
      </c>
      <c r="X35" s="118">
        <f t="shared" si="46"/>
        <v>31249.68</v>
      </c>
      <c r="Y35" s="118">
        <f t="shared" si="47"/>
        <v>3906.21</v>
      </c>
      <c r="Z35" s="118">
        <f t="shared" si="48"/>
        <v>102993.73700000001</v>
      </c>
      <c r="AA35" s="118">
        <f t="shared" si="49"/>
        <v>833179.35050000006</v>
      </c>
    </row>
    <row r="36" spans="1:27" ht="12.75" outlineLevel="2" thickTop="1" thickBot="1" x14ac:dyDescent="0.25">
      <c r="A36" s="114" t="s">
        <v>62</v>
      </c>
      <c r="B36" s="115" t="str">
        <f t="shared" si="25"/>
        <v>Nayibet Galvis</v>
      </c>
      <c r="C36" s="115" t="str">
        <f t="shared" si="26"/>
        <v>Operaria</v>
      </c>
      <c r="D36" s="116">
        <v>30</v>
      </c>
      <c r="E36" s="117">
        <f t="shared" si="27"/>
        <v>26041.4</v>
      </c>
      <c r="F36" s="118">
        <f t="shared" si="28"/>
        <v>781242</v>
      </c>
      <c r="G36" s="119">
        <f t="shared" si="29"/>
        <v>5</v>
      </c>
      <c r="H36" s="119">
        <f t="shared" si="30"/>
        <v>4</v>
      </c>
      <c r="I36" s="119">
        <f t="shared" si="31"/>
        <v>2</v>
      </c>
      <c r="J36" s="119">
        <f t="shared" si="32"/>
        <v>1</v>
      </c>
      <c r="K36" s="118">
        <f t="shared" si="33"/>
        <v>20344.84375</v>
      </c>
      <c r="L36" s="118">
        <f t="shared" si="34"/>
        <v>22786.225000000002</v>
      </c>
      <c r="M36" s="118">
        <f t="shared" si="35"/>
        <v>14648.2875</v>
      </c>
      <c r="N36" s="118">
        <f t="shared" si="36"/>
        <v>8951.7312500000007</v>
      </c>
      <c r="O36" s="118">
        <f t="shared" si="37"/>
        <v>66731.087500000009</v>
      </c>
      <c r="P36" s="118">
        <f t="shared" si="38"/>
        <v>88200</v>
      </c>
      <c r="Q36" s="118">
        <f t="shared" si="39"/>
        <v>0</v>
      </c>
      <c r="R36" s="118">
        <f t="shared" si="40"/>
        <v>0</v>
      </c>
      <c r="S36" s="118">
        <f t="shared" si="41"/>
        <v>936173.08750000002</v>
      </c>
      <c r="T36" s="118">
        <f t="shared" si="42"/>
        <v>847973.08750000002</v>
      </c>
      <c r="U36" s="118">
        <f t="shared" si="43"/>
        <v>33918.923500000004</v>
      </c>
      <c r="V36" s="118">
        <f t="shared" si="44"/>
        <v>33918.923500000004</v>
      </c>
      <c r="W36" s="118">
        <f t="shared" si="45"/>
        <v>0</v>
      </c>
      <c r="X36" s="118">
        <f t="shared" si="46"/>
        <v>31249.68</v>
      </c>
      <c r="Y36" s="118">
        <f t="shared" si="47"/>
        <v>3906.21</v>
      </c>
      <c r="Z36" s="118">
        <f t="shared" si="48"/>
        <v>102993.73700000001</v>
      </c>
      <c r="AA36" s="118">
        <f t="shared" si="49"/>
        <v>833179.35050000006</v>
      </c>
    </row>
    <row r="37" spans="1:27" ht="12.75" outlineLevel="2" thickTop="1" thickBot="1" x14ac:dyDescent="0.25">
      <c r="A37" s="114" t="s">
        <v>64</v>
      </c>
      <c r="B37" s="115" t="str">
        <f t="shared" si="25"/>
        <v>Patricia Rodriguez</v>
      </c>
      <c r="C37" s="115" t="str">
        <f t="shared" si="26"/>
        <v>Operaria</v>
      </c>
      <c r="D37" s="116">
        <v>30</v>
      </c>
      <c r="E37" s="117">
        <f t="shared" si="27"/>
        <v>26041.4</v>
      </c>
      <c r="F37" s="118">
        <f t="shared" si="28"/>
        <v>781242</v>
      </c>
      <c r="G37" s="119">
        <f t="shared" si="29"/>
        <v>5</v>
      </c>
      <c r="H37" s="119">
        <f t="shared" si="30"/>
        <v>4</v>
      </c>
      <c r="I37" s="119">
        <f t="shared" si="31"/>
        <v>2</v>
      </c>
      <c r="J37" s="119">
        <f t="shared" si="32"/>
        <v>1</v>
      </c>
      <c r="K37" s="118">
        <f t="shared" si="33"/>
        <v>20344.84375</v>
      </c>
      <c r="L37" s="118">
        <f t="shared" si="34"/>
        <v>22786.225000000002</v>
      </c>
      <c r="M37" s="118">
        <f t="shared" si="35"/>
        <v>14648.2875</v>
      </c>
      <c r="N37" s="118">
        <f t="shared" si="36"/>
        <v>8951.7312500000007</v>
      </c>
      <c r="O37" s="118">
        <f t="shared" si="37"/>
        <v>66731.087500000009</v>
      </c>
      <c r="P37" s="118">
        <f t="shared" si="38"/>
        <v>88200</v>
      </c>
      <c r="Q37" s="118">
        <f t="shared" si="39"/>
        <v>0</v>
      </c>
      <c r="R37" s="118">
        <f t="shared" si="40"/>
        <v>0</v>
      </c>
      <c r="S37" s="118">
        <f t="shared" si="41"/>
        <v>936173.08750000002</v>
      </c>
      <c r="T37" s="118">
        <f t="shared" si="42"/>
        <v>847973.08750000002</v>
      </c>
      <c r="U37" s="118">
        <f t="shared" si="43"/>
        <v>33918.923500000004</v>
      </c>
      <c r="V37" s="118">
        <f t="shared" si="44"/>
        <v>33918.923500000004</v>
      </c>
      <c r="W37" s="118">
        <f t="shared" si="45"/>
        <v>0</v>
      </c>
      <c r="X37" s="118">
        <f t="shared" si="46"/>
        <v>31249.68</v>
      </c>
      <c r="Y37" s="118">
        <f t="shared" si="47"/>
        <v>3906.21</v>
      </c>
      <c r="Z37" s="118">
        <f t="shared" si="48"/>
        <v>102993.73700000001</v>
      </c>
      <c r="AA37" s="118">
        <f t="shared" si="49"/>
        <v>833179.35050000006</v>
      </c>
    </row>
    <row r="38" spans="1:27" ht="12.75" outlineLevel="2" thickTop="1" thickBot="1" x14ac:dyDescent="0.25">
      <c r="A38" s="114" t="s">
        <v>66</v>
      </c>
      <c r="B38" s="115" t="str">
        <f t="shared" si="25"/>
        <v>Sandra Marcela Rojas</v>
      </c>
      <c r="C38" s="115" t="str">
        <f t="shared" si="26"/>
        <v>Operaria</v>
      </c>
      <c r="D38" s="116">
        <v>30</v>
      </c>
      <c r="E38" s="117">
        <f t="shared" si="27"/>
        <v>26041.4</v>
      </c>
      <c r="F38" s="118">
        <f t="shared" si="28"/>
        <v>781242</v>
      </c>
      <c r="G38" s="119">
        <f t="shared" si="29"/>
        <v>5</v>
      </c>
      <c r="H38" s="119">
        <f t="shared" si="30"/>
        <v>4</v>
      </c>
      <c r="I38" s="119">
        <f t="shared" si="31"/>
        <v>2</v>
      </c>
      <c r="J38" s="119">
        <f t="shared" si="32"/>
        <v>1</v>
      </c>
      <c r="K38" s="118">
        <f t="shared" si="33"/>
        <v>20344.84375</v>
      </c>
      <c r="L38" s="118">
        <f t="shared" si="34"/>
        <v>22786.225000000002</v>
      </c>
      <c r="M38" s="118">
        <f t="shared" si="35"/>
        <v>14648.2875</v>
      </c>
      <c r="N38" s="118">
        <f t="shared" si="36"/>
        <v>8951.7312500000007</v>
      </c>
      <c r="O38" s="118">
        <f t="shared" si="37"/>
        <v>66731.087500000009</v>
      </c>
      <c r="P38" s="118">
        <f t="shared" si="38"/>
        <v>88200</v>
      </c>
      <c r="Q38" s="118">
        <f t="shared" si="39"/>
        <v>0</v>
      </c>
      <c r="R38" s="118">
        <f t="shared" si="40"/>
        <v>0</v>
      </c>
      <c r="S38" s="118">
        <f t="shared" si="41"/>
        <v>936173.08750000002</v>
      </c>
      <c r="T38" s="118">
        <f t="shared" si="42"/>
        <v>847973.08750000002</v>
      </c>
      <c r="U38" s="118">
        <f t="shared" si="43"/>
        <v>33918.923500000004</v>
      </c>
      <c r="V38" s="118">
        <f t="shared" si="44"/>
        <v>33918.923500000004</v>
      </c>
      <c r="W38" s="118">
        <f t="shared" si="45"/>
        <v>0</v>
      </c>
      <c r="X38" s="118">
        <f t="shared" si="46"/>
        <v>31249.68</v>
      </c>
      <c r="Y38" s="118">
        <f t="shared" si="47"/>
        <v>3906.21</v>
      </c>
      <c r="Z38" s="118">
        <f t="shared" si="48"/>
        <v>102993.73700000001</v>
      </c>
      <c r="AA38" s="118">
        <f t="shared" si="49"/>
        <v>833179.35050000006</v>
      </c>
    </row>
    <row r="39" spans="1:27" ht="12.75" outlineLevel="1" thickTop="1" thickBot="1" x14ac:dyDescent="0.25">
      <c r="A39" s="114"/>
      <c r="B39" s="115"/>
      <c r="C39" s="154" t="s">
        <v>185</v>
      </c>
      <c r="D39" s="116"/>
      <c r="E39" s="117"/>
      <c r="F39" s="155">
        <f>SUBTOTAL(9,F33:F38)</f>
        <v>4687452</v>
      </c>
      <c r="G39" s="119"/>
      <c r="H39" s="119"/>
      <c r="I39" s="119"/>
      <c r="J39" s="119"/>
      <c r="K39" s="118"/>
      <c r="L39" s="118"/>
      <c r="M39" s="118"/>
      <c r="N39" s="118"/>
      <c r="O39" s="118"/>
      <c r="P39" s="118"/>
      <c r="Q39" s="118"/>
      <c r="R39" s="118"/>
      <c r="S39" s="155">
        <f>SUBTOTAL(9,S33:S38)</f>
        <v>5617038.5250000004</v>
      </c>
      <c r="T39" s="118"/>
      <c r="U39" s="118"/>
      <c r="V39" s="118"/>
      <c r="W39" s="118"/>
      <c r="X39" s="118"/>
      <c r="Y39" s="118"/>
      <c r="Z39" s="155">
        <f>SUBTOTAL(9,Z33:Z38)</f>
        <v>617962.42200000002</v>
      </c>
      <c r="AA39" s="155">
        <f>SUBTOTAL(9,AA33:AA38)</f>
        <v>4999076.1030000001</v>
      </c>
    </row>
    <row r="40" spans="1:27" ht="12.75" outlineLevel="2" thickTop="1" thickBot="1" x14ac:dyDescent="0.25">
      <c r="A40" s="114" t="s">
        <v>14</v>
      </c>
      <c r="B40" s="115" t="str">
        <f>IF(ISBLANK(A40),"",IF(ISERROR(VLOOKUP(A40,bdempleados,2,FALSE)),"EL DATO NO EXISTE",VLOOKUP(A40,bdempleados,2,FALSE)))</f>
        <v>Camilo Ceballos</v>
      </c>
      <c r="C40" s="115" t="str">
        <f>VLOOKUP(A40,bdempleados,3,FALSE)</f>
        <v>Operario</v>
      </c>
      <c r="D40" s="116">
        <v>30</v>
      </c>
      <c r="E40" s="117">
        <f>VLOOKUP(A40,bdempleados,5,FALSE)</f>
        <v>26041.4</v>
      </c>
      <c r="F40" s="118">
        <f>E40*30</f>
        <v>781242</v>
      </c>
      <c r="G40" s="119">
        <f>IF(OR(C40="OPERARIO",C40="OPERARIA"),5,0)</f>
        <v>5</v>
      </c>
      <c r="H40" s="119">
        <f>IF(OR(C40="OPERARIO",C40="OPERARIA"),4,0)</f>
        <v>4</v>
      </c>
      <c r="I40" s="119">
        <f>IF(OR(C40="OPERARIO",C40="OPERARIA"),2,0)</f>
        <v>2</v>
      </c>
      <c r="J40" s="119">
        <f>IF(OR(C40="OPERARIO",C40="OPERARIA"),1,0)</f>
        <v>1</v>
      </c>
      <c r="K40" s="118">
        <f>F40/240*$U$57*G40</f>
        <v>20344.84375</v>
      </c>
      <c r="L40" s="118">
        <f>F40/240*$U$58*H40</f>
        <v>22786.225000000002</v>
      </c>
      <c r="M40" s="118">
        <f>F40/240*$U$59*I40</f>
        <v>14648.2875</v>
      </c>
      <c r="N40" s="118">
        <f>F40/240*$U$60*J40</f>
        <v>8951.7312500000007</v>
      </c>
      <c r="O40" s="118">
        <f>K40+L40+M40+N40</f>
        <v>66731.087500000009</v>
      </c>
      <c r="P40" s="118">
        <f>IF(AND(D40&gt;30,F40&gt;$P$8),0,IF(AND(D40&lt;=30,F40&lt;=$P$8),D40*2940,0))</f>
        <v>88200</v>
      </c>
      <c r="Q40" s="118">
        <f>IF(C40="Vendedor",$O$62*0.03%,0)</f>
        <v>0</v>
      </c>
      <c r="R40" s="118">
        <f>IF(F40&gt;=900000,$O$62*$O$66,O83*$Q$66)</f>
        <v>0</v>
      </c>
      <c r="S40" s="118">
        <f>F40+O40+P40+Q40+R40</f>
        <v>936173.08750000002</v>
      </c>
      <c r="T40" s="118">
        <f>S40-P40</f>
        <v>847973.08750000002</v>
      </c>
      <c r="U40" s="118">
        <f>T40*$O$58</f>
        <v>33918.923500000004</v>
      </c>
      <c r="V40" s="118">
        <f>T40*$O$59</f>
        <v>33918.923500000004</v>
      </c>
      <c r="W40" s="118">
        <f>IF(F40&gt;$R$8,F40*$O$60,0)</f>
        <v>0</v>
      </c>
      <c r="X40" s="118">
        <f>IF(AND(F40&gt;=850000,F40&lt;=1000000),F40*$Q$64,IF(AND(F40&gt;=1000001,F40&lt;=9000000),F40*$P$64,F40*$R$64))</f>
        <v>31249.68</v>
      </c>
      <c r="Y40" s="118">
        <f>IF(F40&lt;800000,F40*$O$65,F40*$P$65)</f>
        <v>3906.21</v>
      </c>
      <c r="Z40" s="118">
        <f>U40+V40+W40+X40+Y40</f>
        <v>102993.73700000001</v>
      </c>
      <c r="AA40" s="118">
        <f>S40-Z40</f>
        <v>833179.35050000006</v>
      </c>
    </row>
    <row r="41" spans="1:27" ht="12.75" outlineLevel="2" thickTop="1" thickBot="1" x14ac:dyDescent="0.25">
      <c r="A41" s="114" t="s">
        <v>58</v>
      </c>
      <c r="B41" s="115" t="str">
        <f>IF(ISBLANK(A41),"",IF(ISERROR(VLOOKUP(A41,bdempleados,2,FALSE)),"EL DATO NO EXISTE",VLOOKUP(A41,bdempleados,2,FALSE)))</f>
        <v>Mauricio Alzate</v>
      </c>
      <c r="C41" s="115" t="str">
        <f>VLOOKUP(A41,bdempleados,3,FALSE)</f>
        <v>Operario</v>
      </c>
      <c r="D41" s="116">
        <v>30</v>
      </c>
      <c r="E41" s="117">
        <f>VLOOKUP(A41,bdempleados,5,FALSE)</f>
        <v>26041.4</v>
      </c>
      <c r="F41" s="118">
        <f>E41*30</f>
        <v>781242</v>
      </c>
      <c r="G41" s="119">
        <f>IF(OR(C41="OPERARIO",C41="OPERARIA"),5,0)</f>
        <v>5</v>
      </c>
      <c r="H41" s="119">
        <f>IF(OR(C41="OPERARIO",C41="OPERARIA"),4,0)</f>
        <v>4</v>
      </c>
      <c r="I41" s="119">
        <f>IF(OR(C41="OPERARIO",C41="OPERARIA"),2,0)</f>
        <v>2</v>
      </c>
      <c r="J41" s="119">
        <f>IF(OR(C41="OPERARIO",C41="OPERARIA"),1,0)</f>
        <v>1</v>
      </c>
      <c r="K41" s="118">
        <f>F41/240*$U$57*G41</f>
        <v>20344.84375</v>
      </c>
      <c r="L41" s="118">
        <f>F41/240*$U$58*H41</f>
        <v>22786.225000000002</v>
      </c>
      <c r="M41" s="118">
        <f>F41/240*$U$59*I41</f>
        <v>14648.2875</v>
      </c>
      <c r="N41" s="118">
        <f>F41/240*$U$60*J41</f>
        <v>8951.7312500000007</v>
      </c>
      <c r="O41" s="118">
        <f>K41+L41+M41+N41</f>
        <v>66731.087500000009</v>
      </c>
      <c r="P41" s="118">
        <f>IF(AND(D41&gt;30,F41&gt;$P$8),0,IF(AND(D41&lt;=30,F41&lt;=$P$8),D41*2940,0))</f>
        <v>88200</v>
      </c>
      <c r="Q41" s="118">
        <f>IF(C41="Vendedor",$O$62*0.03%,0)</f>
        <v>0</v>
      </c>
      <c r="R41" s="118">
        <f>IF(F41&gt;=900000,$O$62*$O$66,O84*$Q$66)</f>
        <v>0</v>
      </c>
      <c r="S41" s="118">
        <f>F41+O41+P41+Q41+R41</f>
        <v>936173.08750000002</v>
      </c>
      <c r="T41" s="118">
        <f>S41-P41</f>
        <v>847973.08750000002</v>
      </c>
      <c r="U41" s="118">
        <f>T41*$O$58</f>
        <v>33918.923500000004</v>
      </c>
      <c r="V41" s="118">
        <f>T41*$O$59</f>
        <v>33918.923500000004</v>
      </c>
      <c r="W41" s="118">
        <f>IF(F41&gt;$R$8,F41*$O$60,0)</f>
        <v>0</v>
      </c>
      <c r="X41" s="118">
        <f>IF(AND(F41&gt;=850000,F41&lt;=1000000),F41*$Q$64,IF(AND(F41&gt;=1000001,F41&lt;=9000000),F41*$P$64,F41*$R$64))</f>
        <v>31249.68</v>
      </c>
      <c r="Y41" s="118">
        <f>IF(F41&lt;800000,F41*$O$65,F41*$P$65)</f>
        <v>3906.21</v>
      </c>
      <c r="Z41" s="118">
        <f>U41+V41+W41+X41+Y41</f>
        <v>102993.73700000001</v>
      </c>
      <c r="AA41" s="118">
        <f>S41-Z41</f>
        <v>833179.35050000006</v>
      </c>
    </row>
    <row r="42" spans="1:27" ht="12.75" outlineLevel="1" thickTop="1" thickBot="1" x14ac:dyDescent="0.25">
      <c r="A42" s="114"/>
      <c r="B42" s="115"/>
      <c r="C42" s="154" t="s">
        <v>186</v>
      </c>
      <c r="D42" s="116"/>
      <c r="E42" s="117"/>
      <c r="F42" s="155">
        <f>SUBTOTAL(9,F40:F41)</f>
        <v>1562484</v>
      </c>
      <c r="G42" s="119"/>
      <c r="H42" s="119"/>
      <c r="I42" s="119"/>
      <c r="J42" s="119"/>
      <c r="K42" s="118"/>
      <c r="L42" s="118"/>
      <c r="M42" s="118"/>
      <c r="N42" s="118"/>
      <c r="O42" s="118"/>
      <c r="P42" s="118"/>
      <c r="Q42" s="118"/>
      <c r="R42" s="118"/>
      <c r="S42" s="155">
        <f>SUBTOTAL(9,S40:S41)</f>
        <v>1872346.175</v>
      </c>
      <c r="T42" s="118"/>
      <c r="U42" s="118"/>
      <c r="V42" s="118"/>
      <c r="W42" s="118"/>
      <c r="X42" s="118"/>
      <c r="Y42" s="118"/>
      <c r="Z42" s="155">
        <f>SUBTOTAL(9,Z40:Z41)</f>
        <v>205987.47400000002</v>
      </c>
      <c r="AA42" s="155">
        <f>SUBTOTAL(9,AA40:AA41)</f>
        <v>1666358.7010000001</v>
      </c>
    </row>
    <row r="43" spans="1:27" ht="12.75" outlineLevel="2" thickTop="1" thickBot="1" x14ac:dyDescent="0.25">
      <c r="A43" s="114" t="s">
        <v>17</v>
      </c>
      <c r="B43" s="115" t="str">
        <f>IF(ISBLANK(A43),"",IF(ISERROR(VLOOKUP(A43,bdempleados,2,FALSE)),"EL DATO NO EXISTE",VLOOKUP(A43,bdempleados,2,FALSE)))</f>
        <v>Carlos Andrés Giraldo</v>
      </c>
      <c r="C43" s="115" t="str">
        <f>VLOOKUP(A43,bdempleados,3,FALSE)</f>
        <v>Secretaria</v>
      </c>
      <c r="D43" s="116">
        <v>30</v>
      </c>
      <c r="E43" s="117">
        <f>VLOOKUP(A43,bdempleados,5,FALSE)</f>
        <v>31666.666666666668</v>
      </c>
      <c r="F43" s="118">
        <f>E43*30</f>
        <v>950000</v>
      </c>
      <c r="G43" s="119">
        <f>IF(OR(C43="OPERARIO",C43="OPERARIA"),5,0)</f>
        <v>0</v>
      </c>
      <c r="H43" s="119">
        <f>IF(OR(C43="OPERARIO",C43="OPERARIA"),4,0)</f>
        <v>0</v>
      </c>
      <c r="I43" s="119">
        <f>IF(OR(C43="OPERARIO",C43="OPERARIA"),2,0)</f>
        <v>0</v>
      </c>
      <c r="J43" s="119">
        <f>IF(OR(C43="OPERARIO",DD29="OPERARIA"),1,0)</f>
        <v>0</v>
      </c>
      <c r="K43" s="118">
        <f>F43/240*$U$57*G43</f>
        <v>0</v>
      </c>
      <c r="L43" s="118">
        <f>F43/240*$U$58*H43</f>
        <v>0</v>
      </c>
      <c r="M43" s="118">
        <f>F43/240*$U$59*I43</f>
        <v>0</v>
      </c>
      <c r="N43" s="118">
        <f>F43/240*$U$60*J43</f>
        <v>0</v>
      </c>
      <c r="O43" s="118">
        <f>K43+L43+M43+N43</f>
        <v>0</v>
      </c>
      <c r="P43" s="118">
        <f>IF(AND(D43&gt;30,F43&gt;$P$8),0,IF(AND(D43&lt;=30,F43&lt;=$P$8),D43*2940,0))</f>
        <v>88200</v>
      </c>
      <c r="Q43" s="118">
        <f>IF(C43="Vendedor",$O$62*0.03%,0)</f>
        <v>0</v>
      </c>
      <c r="R43" s="118">
        <f>IF(F43&gt;=900000,$O$62*$O$66,O85*$Q$66)</f>
        <v>40000</v>
      </c>
      <c r="S43" s="118">
        <f>F43+O43+P43+Q43+R43</f>
        <v>1078200</v>
      </c>
      <c r="T43" s="118">
        <f>S43-P43</f>
        <v>990000</v>
      </c>
      <c r="U43" s="118">
        <f>T43*$O$58</f>
        <v>39600</v>
      </c>
      <c r="V43" s="118">
        <f>T43*$O$59</f>
        <v>39600</v>
      </c>
      <c r="W43" s="118">
        <f>IF(F43&gt;$R$8,F43*$O$60,0)</f>
        <v>0</v>
      </c>
      <c r="X43" s="118">
        <f>IF(AND(F43&gt;=850000,F43&lt;=1000000),F43*$Q$64,IF(AND(F43&gt;=1000001,F43&lt;=9000000),F43*$P$64,F43*$R$64))</f>
        <v>66500</v>
      </c>
      <c r="Y43" s="118">
        <f>IF(F43&lt;800000,F43*$O$65,F43*$P$65)</f>
        <v>19000</v>
      </c>
      <c r="Z43" s="118">
        <f>U43+V43+W43+X43+Y43</f>
        <v>164700</v>
      </c>
      <c r="AA43" s="118">
        <f>S43-Z43</f>
        <v>913500</v>
      </c>
    </row>
    <row r="44" spans="1:27" ht="12.75" outlineLevel="2" thickTop="1" thickBot="1" x14ac:dyDescent="0.25">
      <c r="A44" s="114" t="s">
        <v>27</v>
      </c>
      <c r="B44" s="115" t="str">
        <f>IF(ISBLANK(A44),"",IF(ISERROR(VLOOKUP(A44,bdempleados,2,FALSE)),"EL DATO NO EXISTE",VLOOKUP(A44,bdempleados,2,FALSE)))</f>
        <v>Diana López</v>
      </c>
      <c r="C44" s="115" t="str">
        <f>VLOOKUP(A44,bdempleados,3,FALSE)</f>
        <v>Secretaria</v>
      </c>
      <c r="D44" s="116">
        <v>25</v>
      </c>
      <c r="E44" s="117">
        <f>VLOOKUP(A44,bdempleados,5,FALSE)</f>
        <v>31666.666666666668</v>
      </c>
      <c r="F44" s="118">
        <f>E44*30</f>
        <v>950000</v>
      </c>
      <c r="G44" s="119">
        <f>IF(OR(C44="OPERARIO",C44="OPERARIA"),5,0)</f>
        <v>0</v>
      </c>
      <c r="H44" s="119">
        <f>IF(OR(C44="OPERARIO",C44="OPERARIA"),4,0)</f>
        <v>0</v>
      </c>
      <c r="I44" s="119">
        <f>IF(OR(C44="OPERARIO",C44="OPERARIA"),2,0)</f>
        <v>0</v>
      </c>
      <c r="J44" s="119">
        <f>IF(OR(C44="OPERARIO",DD31="OPERARIA"),1,0)</f>
        <v>0</v>
      </c>
      <c r="K44" s="118">
        <f>F44/240*$U$57*G44</f>
        <v>0</v>
      </c>
      <c r="L44" s="118">
        <f>F44/240*$U$58*H44</f>
        <v>0</v>
      </c>
      <c r="M44" s="118">
        <f>F44/240*$U$59*I44</f>
        <v>0</v>
      </c>
      <c r="N44" s="118">
        <f>F44/240*$U$60*J44</f>
        <v>0</v>
      </c>
      <c r="O44" s="118">
        <f>K44+L44+M44+N44</f>
        <v>0</v>
      </c>
      <c r="P44" s="118">
        <f>IF(AND(D44&gt;30,F44&gt;$P$8),0,IF(AND(D44&lt;=30,F44&lt;=$P$8),D44*2940,0))</f>
        <v>73500</v>
      </c>
      <c r="Q44" s="118">
        <f>IF(C44="Vendedor",$O$62*0.03%,0)</f>
        <v>0</v>
      </c>
      <c r="R44" s="118">
        <f>IF(F44&gt;=900000,$O$62*$O$66,O86*$Q$66)</f>
        <v>40000</v>
      </c>
      <c r="S44" s="118">
        <f>F44+O44+P44+Q44+R44</f>
        <v>1063500</v>
      </c>
      <c r="T44" s="118">
        <f>S44-P44</f>
        <v>990000</v>
      </c>
      <c r="U44" s="118">
        <f>T44*$O$58</f>
        <v>39600</v>
      </c>
      <c r="V44" s="118">
        <f>T44*$O$59</f>
        <v>39600</v>
      </c>
      <c r="W44" s="118">
        <f>IF(F44&gt;$R$8,F44*$O$60,0)</f>
        <v>0</v>
      </c>
      <c r="X44" s="118">
        <f>IF(AND(F44&gt;=850000,F44&lt;=1000000),F44*$Q$64,IF(AND(F44&gt;=1000001,F44&lt;=9000000),F44*$P$64,F44*$R$64))</f>
        <v>66500</v>
      </c>
      <c r="Y44" s="118">
        <f>IF(F44&lt;800000,F44*$O$65,F44*$P$65)</f>
        <v>19000</v>
      </c>
      <c r="Z44" s="118">
        <f>U44+V44+W44+X44+Y44</f>
        <v>164700</v>
      </c>
      <c r="AA44" s="118">
        <f>S44-Z44</f>
        <v>898800</v>
      </c>
    </row>
    <row r="45" spans="1:27" ht="12.75" outlineLevel="2" thickTop="1" thickBot="1" x14ac:dyDescent="0.25">
      <c r="A45" s="114" t="s">
        <v>60</v>
      </c>
      <c r="B45" s="115" t="str">
        <f>IF(ISBLANK(A45),"",IF(ISERROR(VLOOKUP(A45,bdempleados,2,FALSE)),"EL DATO NO EXISTE",VLOOKUP(A45,bdempleados,2,FALSE)))</f>
        <v>Mónica Yurany Giraldo</v>
      </c>
      <c r="C45" s="115" t="str">
        <f>VLOOKUP(A45,bdempleados,3,FALSE)</f>
        <v>Secretaria</v>
      </c>
      <c r="D45" s="116">
        <v>30</v>
      </c>
      <c r="E45" s="117">
        <f>VLOOKUP(A45,bdempleados,5,FALSE)</f>
        <v>31666.666666666668</v>
      </c>
      <c r="F45" s="118">
        <f>E45*30</f>
        <v>950000</v>
      </c>
      <c r="G45" s="119">
        <f>IF(OR(C45="OPERARIO",C45="OPERARIA"),5,0)</f>
        <v>0</v>
      </c>
      <c r="H45" s="119">
        <f>IF(OR(C45="OPERARIO",C45="OPERARIA"),4,0)</f>
        <v>0</v>
      </c>
      <c r="I45" s="119">
        <f>IF(OR(C45="OPERARIO",C45="OPERARIA"),2,0)</f>
        <v>0</v>
      </c>
      <c r="J45" s="119">
        <f>IF(OR(C45="OPERARIO",DD33="OPERARIA"),1,0)</f>
        <v>0</v>
      </c>
      <c r="K45" s="118">
        <f>F45/240*$U$57*G45</f>
        <v>0</v>
      </c>
      <c r="L45" s="118">
        <f>F45/240*$U$58*H45</f>
        <v>0</v>
      </c>
      <c r="M45" s="118">
        <f>F45/240*$U$59*I45</f>
        <v>0</v>
      </c>
      <c r="N45" s="118">
        <f>F45/240*$U$60*J45</f>
        <v>0</v>
      </c>
      <c r="O45" s="118">
        <f>K45+L45+M45+N45</f>
        <v>0</v>
      </c>
      <c r="P45" s="118">
        <f>IF(AND(D45&gt;30,F45&gt;$P$8),0,IF(AND(D45&lt;=30,F45&lt;=$P$8),D45*2940,0))</f>
        <v>88200</v>
      </c>
      <c r="Q45" s="118">
        <f>IF(C45="Vendedor",$O$62*0.03%,0)</f>
        <v>0</v>
      </c>
      <c r="R45" s="118">
        <f>IF(F45&gt;=900000,$O$62*$O$66,O87*$Q$66)</f>
        <v>40000</v>
      </c>
      <c r="S45" s="118">
        <f>F45+O45+P45+Q45+R45</f>
        <v>1078200</v>
      </c>
      <c r="T45" s="118">
        <f>S45-P45</f>
        <v>990000</v>
      </c>
      <c r="U45" s="118">
        <f>T45*$O$58</f>
        <v>39600</v>
      </c>
      <c r="V45" s="118">
        <f>T45*$O$59</f>
        <v>39600</v>
      </c>
      <c r="W45" s="118">
        <f>IF(F45&gt;$R$8,F45*$O$60,0)</f>
        <v>0</v>
      </c>
      <c r="X45" s="118">
        <f>IF(AND(F45&gt;=850000,F45&lt;=1000000),F45*$Q$64,IF(AND(F45&gt;=1000001,F45&lt;=9000000),F45*$P$64,F45*$R$64))</f>
        <v>66500</v>
      </c>
      <c r="Y45" s="118">
        <f>IF(F45&lt;800000,F45*$O$65,F45*$P$65)</f>
        <v>19000</v>
      </c>
      <c r="Z45" s="118">
        <f>U45+V45+W45+X45+Y45</f>
        <v>164700</v>
      </c>
      <c r="AA45" s="118">
        <f>S45-Z45</f>
        <v>913500</v>
      </c>
    </row>
    <row r="46" spans="1:27" ht="12.75" outlineLevel="1" thickTop="1" thickBot="1" x14ac:dyDescent="0.25">
      <c r="A46" s="114"/>
      <c r="B46" s="115"/>
      <c r="C46" s="154" t="s">
        <v>187</v>
      </c>
      <c r="D46" s="116"/>
      <c r="E46" s="117"/>
      <c r="F46" s="155">
        <f>SUBTOTAL(9,F43:F45)</f>
        <v>2850000</v>
      </c>
      <c r="G46" s="119"/>
      <c r="H46" s="119"/>
      <c r="I46" s="119"/>
      <c r="J46" s="119"/>
      <c r="K46" s="118"/>
      <c r="L46" s="118"/>
      <c r="M46" s="118"/>
      <c r="N46" s="118"/>
      <c r="O46" s="118"/>
      <c r="P46" s="118"/>
      <c r="Q46" s="118"/>
      <c r="R46" s="118"/>
      <c r="S46" s="155">
        <f>SUBTOTAL(9,S43:S45)</f>
        <v>3219900</v>
      </c>
      <c r="T46" s="118"/>
      <c r="U46" s="118"/>
      <c r="V46" s="118"/>
      <c r="W46" s="118"/>
      <c r="X46" s="118"/>
      <c r="Y46" s="118"/>
      <c r="Z46" s="155">
        <f>SUBTOTAL(9,Z43:Z45)</f>
        <v>494100</v>
      </c>
      <c r="AA46" s="155">
        <f>SUBTOTAL(9,AA43:AA45)</f>
        <v>2725800</v>
      </c>
    </row>
    <row r="47" spans="1:27" ht="12.75" outlineLevel="2" thickTop="1" thickBot="1" x14ac:dyDescent="0.25">
      <c r="A47" s="114" t="s">
        <v>8</v>
      </c>
      <c r="B47" s="115" t="str">
        <f>IF(ISBLANK(A47),"",IF(ISERROR(VLOOKUP(A47,bdempleados,2,FALSE)),"EL DATO NO EXISTE",VLOOKUP(A47,bdempleados,2,FALSE)))</f>
        <v>Andrés Felipe Ramírez</v>
      </c>
      <c r="C47" s="115" t="str">
        <f>VLOOKUP(A47,bdempleados,3,FALSE)</f>
        <v>Vendedor</v>
      </c>
      <c r="D47" s="116">
        <v>30</v>
      </c>
      <c r="E47" s="117">
        <f>VLOOKUP(A47,bdempleados,5,FALSE)</f>
        <v>28333.333333333332</v>
      </c>
      <c r="F47" s="118">
        <f>E47*30</f>
        <v>850000</v>
      </c>
      <c r="G47" s="119">
        <f>IF(OR(C47="OPERARIO",C47="OPERARIA"),5,0)</f>
        <v>0</v>
      </c>
      <c r="H47" s="119">
        <f>IF(OR(C47="OPERARIO",C47="OPERARIA"),4,0)</f>
        <v>0</v>
      </c>
      <c r="I47" s="119">
        <f>IF(OR(C47="OPERARIO",C47="OPERARIA"),2,0)</f>
        <v>0</v>
      </c>
      <c r="J47" s="119">
        <f>IF(OR(C47="OPERARIO",DD34="OPERARIA"),1,0)</f>
        <v>0</v>
      </c>
      <c r="K47" s="118">
        <f>F47/240*$U$57*G47</f>
        <v>0</v>
      </c>
      <c r="L47" s="118">
        <f>F47/240*$U$58*H47</f>
        <v>0</v>
      </c>
      <c r="M47" s="118">
        <f>F47/240*$U$59*I47</f>
        <v>0</v>
      </c>
      <c r="N47" s="118">
        <f>F47/240*$U$60*J47</f>
        <v>0</v>
      </c>
      <c r="O47" s="118">
        <f>K47+L47+M47+N47</f>
        <v>0</v>
      </c>
      <c r="P47" s="118">
        <f>IF(AND(D47&gt;30,F47&gt;$P$8),0,IF(AND(D47&lt;=30,F47&lt;=$P$8),D47*2940,0))</f>
        <v>88200</v>
      </c>
      <c r="Q47" s="118">
        <f>IF(C47="Vendedor",$O$62*0.03%,0)</f>
        <v>59999.999999999993</v>
      </c>
      <c r="R47" s="118"/>
      <c r="S47" s="118">
        <f>F47+O47+P47+Q47+R47</f>
        <v>998200</v>
      </c>
      <c r="T47" s="118">
        <f>S47-P47</f>
        <v>910000</v>
      </c>
      <c r="U47" s="118">
        <f>T47*$O$58</f>
        <v>36400</v>
      </c>
      <c r="V47" s="118">
        <f>T47*$O$59</f>
        <v>36400</v>
      </c>
      <c r="W47" s="118">
        <f>IF(F47&gt;$R$8,F47*$O$60,0)</f>
        <v>0</v>
      </c>
      <c r="X47" s="118">
        <f>IF(AND(F47&gt;=850000,F47&lt;=1000000),F47*$Q$64,IF(AND(F47&gt;=1000001,F47&lt;=9000000),F47*$P$64,F47*$R$64))</f>
        <v>59500.000000000007</v>
      </c>
      <c r="Y47" s="118">
        <f>IF(F47&lt;800000,F47*$O$65,F47*$P$65)</f>
        <v>17000</v>
      </c>
      <c r="Z47" s="118">
        <f>U47+V47+W47+X47+Y47</f>
        <v>149300</v>
      </c>
      <c r="AA47" s="118">
        <f>S47-Z47</f>
        <v>848900</v>
      </c>
    </row>
    <row r="48" spans="1:27" ht="12.75" outlineLevel="2" thickTop="1" thickBot="1" x14ac:dyDescent="0.25">
      <c r="A48" s="114" t="s">
        <v>20</v>
      </c>
      <c r="B48" s="115" t="str">
        <f>IF(ISBLANK(A48),"",IF(ISERROR(VLOOKUP(A48,bdempleados,2,FALSE)),"EL DATO NO EXISTE",VLOOKUP(A48,bdempleados,2,FALSE)))</f>
        <v>Carlos Mario Quiroz</v>
      </c>
      <c r="C48" s="115" t="str">
        <f>VLOOKUP(A48,bdempleados,3,FALSE)</f>
        <v>Vendedor</v>
      </c>
      <c r="D48" s="116">
        <v>30</v>
      </c>
      <c r="E48" s="117">
        <f>VLOOKUP(A48,bdempleados,5,FALSE)</f>
        <v>28333.333333333332</v>
      </c>
      <c r="F48" s="118">
        <f>E48*30</f>
        <v>850000</v>
      </c>
      <c r="G48" s="119">
        <f>IF(OR(C48="OPERARIO",C48="OPERARIA"),5,0)</f>
        <v>0</v>
      </c>
      <c r="H48" s="119">
        <f>IF(OR(C48="OPERARIO",C48="OPERARIA"),4,0)</f>
        <v>0</v>
      </c>
      <c r="I48" s="119">
        <f>IF(OR(C48="OPERARIO",C48="OPERARIA"),2,0)</f>
        <v>0</v>
      </c>
      <c r="J48" s="119">
        <f>IF(OR(C48="OPERARIO",DD35="OPERARIA"),1,0)</f>
        <v>0</v>
      </c>
      <c r="K48" s="118">
        <f>F48/240*$U$57*G48</f>
        <v>0</v>
      </c>
      <c r="L48" s="118">
        <f>F48/240*$U$58*H48</f>
        <v>0</v>
      </c>
      <c r="M48" s="118">
        <f>F48/240*$U$59*I48</f>
        <v>0</v>
      </c>
      <c r="N48" s="118">
        <f>F48/240*$U$60*J48</f>
        <v>0</v>
      </c>
      <c r="O48" s="118">
        <f>K48+L48+M48+N48</f>
        <v>0</v>
      </c>
      <c r="P48" s="118">
        <f>IF(AND(D48&gt;30,F48&gt;$P$8),0,IF(AND(D48&lt;=30,F48&lt;=$P$8),D48*2940,0))</f>
        <v>88200</v>
      </c>
      <c r="Q48" s="118">
        <f>IF(C48="Vendedor",$O$62*0.03%,0)</f>
        <v>59999.999999999993</v>
      </c>
      <c r="R48" s="118">
        <f>IF(F48&gt;=900000,$O$62*$O$66,O89*$Q$66)</f>
        <v>0</v>
      </c>
      <c r="S48" s="118">
        <f>F48+O48+P48+Q48+R48</f>
        <v>998200</v>
      </c>
      <c r="T48" s="118">
        <f>S48-P48</f>
        <v>910000</v>
      </c>
      <c r="U48" s="118">
        <f>T48*$O$58</f>
        <v>36400</v>
      </c>
      <c r="V48" s="118">
        <f>T48*$O$59</f>
        <v>36400</v>
      </c>
      <c r="W48" s="118">
        <f>IF(F48&gt;$R$8,F48*$O$60,0)</f>
        <v>0</v>
      </c>
      <c r="X48" s="118">
        <f>IF(AND(F48&gt;=850000,F48&lt;=1000000),F48*$Q$64,IF(AND(F48&gt;=1000001,F48&lt;=9000000),F48*$P$64,F48*$R$64))</f>
        <v>59500.000000000007</v>
      </c>
      <c r="Y48" s="118">
        <f>IF(F48&lt;800000,F48*$O$65,F48*$P$65)</f>
        <v>17000</v>
      </c>
      <c r="Z48" s="118">
        <f>U48+V48+W48+X48+Y48</f>
        <v>149300</v>
      </c>
      <c r="AA48" s="118">
        <f>S48-Z48</f>
        <v>848900</v>
      </c>
    </row>
    <row r="49" spans="1:27" ht="12.75" outlineLevel="2" thickTop="1" thickBot="1" x14ac:dyDescent="0.25">
      <c r="A49" s="114" t="s">
        <v>25</v>
      </c>
      <c r="B49" s="115" t="str">
        <f>IF(ISBLANK(A49),"",IF(ISERROR(VLOOKUP(A49,bdempleados,2,FALSE)),"EL DATO NO EXISTE",VLOOKUP(A49,bdempleados,2,FALSE)))</f>
        <v>Claudia González</v>
      </c>
      <c r="C49" s="115" t="str">
        <f>VLOOKUP(A49,bdempleados,3,FALSE)</f>
        <v>Vendedor</v>
      </c>
      <c r="D49" s="116">
        <v>25</v>
      </c>
      <c r="E49" s="117">
        <f>VLOOKUP(A49,bdempleados,5,FALSE)</f>
        <v>28333.333333333332</v>
      </c>
      <c r="F49" s="118">
        <f>E49*30</f>
        <v>850000</v>
      </c>
      <c r="G49" s="119">
        <f>IF(OR(C49="OPERARIO",C49="OPERARIA"),5,0)</f>
        <v>0</v>
      </c>
      <c r="H49" s="119">
        <f>IF(OR(C49="OPERARIO",C49="OPERARIA"),4,0)</f>
        <v>0</v>
      </c>
      <c r="I49" s="119">
        <f>IF(OR(C49="OPERARIO",C49="OPERARIA"),2,0)</f>
        <v>0</v>
      </c>
      <c r="J49" s="119">
        <f>IF(OR(C49="OPERARIO",DD36="OPERARIA"),1,0)</f>
        <v>0</v>
      </c>
      <c r="K49" s="118">
        <f>F49/240*$U$57*G49</f>
        <v>0</v>
      </c>
      <c r="L49" s="118">
        <f>F49/240*$U$58*H49</f>
        <v>0</v>
      </c>
      <c r="M49" s="118">
        <f>F49/240*$U$59*I49</f>
        <v>0</v>
      </c>
      <c r="N49" s="118">
        <f>F49/240*$U$60*J49</f>
        <v>0</v>
      </c>
      <c r="O49" s="118">
        <f>K49+L49+M49+N49</f>
        <v>0</v>
      </c>
      <c r="P49" s="118">
        <f>IF(AND(D49&gt;30,F49&gt;$P$8),0,IF(AND(D49&lt;=30,F49&lt;=$P$8),D49*2940,0))</f>
        <v>73500</v>
      </c>
      <c r="Q49" s="118">
        <f>IF(C49="Vendedor",$O$62*0.03%,0)</f>
        <v>59999.999999999993</v>
      </c>
      <c r="R49" s="118">
        <f>IF(F49&gt;=900000,$O$62*$O$66,O90*$Q$66)</f>
        <v>0</v>
      </c>
      <c r="S49" s="118">
        <f>F49+O49+P49+Q49+R49</f>
        <v>983500</v>
      </c>
      <c r="T49" s="118">
        <f>S49-P49</f>
        <v>910000</v>
      </c>
      <c r="U49" s="118">
        <f>T49*$O$58</f>
        <v>36400</v>
      </c>
      <c r="V49" s="118">
        <f>T49*$O$59</f>
        <v>36400</v>
      </c>
      <c r="W49" s="118">
        <f>IF(F49&gt;$R$8,F49*$O$60,0)</f>
        <v>0</v>
      </c>
      <c r="X49" s="118">
        <f>IF(AND(F49&gt;=850000,F49&lt;=1000000),F49*$Q$64,IF(AND(F49&gt;=1000001,F49&lt;=9000000),F49*$P$64,F49*$R$64))</f>
        <v>59500.000000000007</v>
      </c>
      <c r="Y49" s="118">
        <f>IF(F49&lt;800000,F49*$O$65,F49*$P$65)</f>
        <v>17000</v>
      </c>
      <c r="Z49" s="118">
        <f>U49+V49+W49+X49+Y49</f>
        <v>149300</v>
      </c>
      <c r="AA49" s="118">
        <f>S49-Z49</f>
        <v>834200</v>
      </c>
    </row>
    <row r="50" spans="1:27" ht="12.75" outlineLevel="2" thickTop="1" thickBot="1" x14ac:dyDescent="0.25">
      <c r="A50" s="157" t="s">
        <v>41</v>
      </c>
      <c r="B50" s="115" t="str">
        <f>IF(ISBLANK(A50),"",IF(ISERROR(VLOOKUP(A50,bdempleados,2,FALSE)),"EL DATO NO EXISTE",VLOOKUP(A50,bdempleados,2,FALSE)))</f>
        <v>Hernán Darío Hernández</v>
      </c>
      <c r="C50" s="115" t="str">
        <f>VLOOKUP(A50,bdempleados,3,FALSE)</f>
        <v>Vendedor</v>
      </c>
      <c r="D50" s="158">
        <v>30</v>
      </c>
      <c r="E50" s="117">
        <f>VLOOKUP(A50,bdempleados,5,FALSE)</f>
        <v>28333.333333333332</v>
      </c>
      <c r="F50" s="118">
        <f>E50*30</f>
        <v>850000</v>
      </c>
      <c r="G50" s="119">
        <f>IF(OR(C50="OPERARIO",C50="OPERARIA"),5,0)</f>
        <v>0</v>
      </c>
      <c r="H50" s="119">
        <f>IF(OR(C50="OPERARIO",C50="OPERARIA"),4,0)</f>
        <v>0</v>
      </c>
      <c r="I50" s="119">
        <f>IF(OR(C50="OPERARIO",C50="OPERARIA"),2,0)</f>
        <v>0</v>
      </c>
      <c r="J50" s="119">
        <f>IF(OR(C50="OPERARIO",DD37="OPERARIA"),1,0)</f>
        <v>0</v>
      </c>
      <c r="K50" s="118">
        <f>F50/240*$U$57*G50</f>
        <v>0</v>
      </c>
      <c r="L50" s="118">
        <f>F50/240*$U$58*H50</f>
        <v>0</v>
      </c>
      <c r="M50" s="118">
        <f>F50/240*$U$59*I50</f>
        <v>0</v>
      </c>
      <c r="N50" s="118">
        <f>F50/240*$U$60*J50</f>
        <v>0</v>
      </c>
      <c r="O50" s="118">
        <f>K50+L50+M50+N50</f>
        <v>0</v>
      </c>
      <c r="P50" s="118">
        <f>IF(AND(D50&gt;30,F50&gt;$P$8),0,IF(AND(D50&lt;=30,F50&lt;=$P$8),D50*2940,0))</f>
        <v>88200</v>
      </c>
      <c r="Q50" s="118">
        <f>IF(C50="Vendedor",$O$62*0.03%,0)</f>
        <v>59999.999999999993</v>
      </c>
      <c r="R50" s="118">
        <f>IF(F50&gt;=900000,$O$62*$O$66,O91*$Q$66)</f>
        <v>0</v>
      </c>
      <c r="S50" s="118">
        <f>F50+O50+P50+Q50+R50</f>
        <v>998200</v>
      </c>
      <c r="T50" s="118">
        <f>S50-P50</f>
        <v>910000</v>
      </c>
      <c r="U50" s="118">
        <f>T50*$O$58</f>
        <v>36400</v>
      </c>
      <c r="V50" s="118">
        <f>T50*$O$59</f>
        <v>36400</v>
      </c>
      <c r="W50" s="118">
        <f>IF(F50&gt;$R$8,F50*$O$60,0)</f>
        <v>0</v>
      </c>
      <c r="X50" s="118">
        <f>IF(AND(F50&gt;=850000,F50&lt;=1000000),F50*$Q$64,IF(AND(F50&gt;=1000001,F50&lt;=9000000),F50*$P$64,F50*$R$64))</f>
        <v>59500.000000000007</v>
      </c>
      <c r="Y50" s="118">
        <f>IF(F50&lt;800000,F50*$O$65,F50*$P$65)</f>
        <v>17000</v>
      </c>
      <c r="Z50" s="118">
        <f>U50+V50+W50+X50+Y50</f>
        <v>149300</v>
      </c>
      <c r="AA50" s="118">
        <f>S50-Z50</f>
        <v>848900</v>
      </c>
    </row>
    <row r="51" spans="1:27" ht="12.75" outlineLevel="2" thickTop="1" thickBot="1" x14ac:dyDescent="0.25">
      <c r="A51" s="159" t="s">
        <v>49</v>
      </c>
      <c r="B51" s="115" t="str">
        <f>IF(ISBLANK(A51),"",IF(ISERROR(VLOOKUP(A51,bdempleados,2,FALSE)),"EL DATO NO EXISTE",VLOOKUP(A51,bdempleados,2,FALSE)))</f>
        <v>Liliana Ríos</v>
      </c>
      <c r="C51" s="160" t="str">
        <f>VLOOKUP(A51,bdempleados,3,FALSE)</f>
        <v>Vendedor</v>
      </c>
      <c r="D51" s="161">
        <v>30</v>
      </c>
      <c r="E51" s="162">
        <f>VLOOKUP(A51,bdempleados,5,FALSE)</f>
        <v>28333.333333333332</v>
      </c>
      <c r="F51" s="163">
        <f>E51*30</f>
        <v>850000</v>
      </c>
      <c r="G51" s="164">
        <f>IF(OR(C51="OPERARIO",C51="OPERARIA"),5,0)</f>
        <v>0</v>
      </c>
      <c r="H51" s="119">
        <f>IF(OR(C51="OPERARIO",C51="OPERARIA"),4,0)</f>
        <v>0</v>
      </c>
      <c r="I51" s="164">
        <f>IF(OR(C51="OPERARIO",C51="OPERARIA"),2,0)</f>
        <v>0</v>
      </c>
      <c r="J51" s="164">
        <f>IF(OR(C51="OPERARIO",DD38="OPERARIA"),1,0)</f>
        <v>0</v>
      </c>
      <c r="K51" s="163">
        <f>F51/240*$U$57*G51</f>
        <v>0</v>
      </c>
      <c r="L51" s="163">
        <f>F51/240*$U$58*H51</f>
        <v>0</v>
      </c>
      <c r="M51" s="118">
        <f>F51/240*$U$59*I51</f>
        <v>0</v>
      </c>
      <c r="N51" s="163">
        <f>F51/240*$U$60*J51</f>
        <v>0</v>
      </c>
      <c r="O51" s="163">
        <f>K51+L51+M51+N51</f>
        <v>0</v>
      </c>
      <c r="P51" s="118">
        <f>IF(AND(D51&gt;30,F51&gt;$P$8),0,IF(AND(D51&lt;=30,F51&lt;=$P$8),D51*2940,0))</f>
        <v>88200</v>
      </c>
      <c r="Q51" s="118">
        <f>IF(C51="Vendedor",$O$62*0.03%,0)</f>
        <v>59999.999999999993</v>
      </c>
      <c r="R51" s="118">
        <f>IF(F51&gt;=900000,$O$62*$O$66,O92*$Q$66)</f>
        <v>0</v>
      </c>
      <c r="S51" s="118">
        <f>F51+O51+P51+Q51+R51</f>
        <v>998200</v>
      </c>
      <c r="T51" s="165">
        <f>S51-P51</f>
        <v>910000</v>
      </c>
      <c r="U51" s="163">
        <f>T51*$O$58</f>
        <v>36400</v>
      </c>
      <c r="V51" s="163">
        <f>T51*$O$59</f>
        <v>36400</v>
      </c>
      <c r="W51" s="163">
        <f>IF(F51&gt;$R$8,F51*$O$60,0)</f>
        <v>0</v>
      </c>
      <c r="X51" s="163">
        <f>IF(AND(F51&gt;=850000,F51&lt;=1000000),F51*$Q$64,IF(AND(F51&gt;=1000001,F51&lt;=9000000),F51*$P$64,F51*$R$64))</f>
        <v>59500.000000000007</v>
      </c>
      <c r="Y51" s="163">
        <f>IF(F51&lt;800000,F51*$O$65,F51*$P$65)</f>
        <v>17000</v>
      </c>
      <c r="Z51" s="163">
        <f>U51+V51+W51+X51+Y51</f>
        <v>149300</v>
      </c>
      <c r="AA51" s="163">
        <f>S51-Z51</f>
        <v>848900</v>
      </c>
    </row>
    <row r="52" spans="1:27" ht="12.75" outlineLevel="1" thickTop="1" thickBot="1" x14ac:dyDescent="0.25">
      <c r="A52" s="166"/>
      <c r="B52" s="167"/>
      <c r="C52" s="168" t="s">
        <v>188</v>
      </c>
      <c r="D52" s="169"/>
      <c r="E52" s="170"/>
      <c r="F52" s="171">
        <f>SUBTOTAL(9,F47:F51)</f>
        <v>4250000</v>
      </c>
      <c r="G52" s="172"/>
      <c r="H52" s="173"/>
      <c r="I52" s="174"/>
      <c r="J52" s="175"/>
      <c r="K52" s="176"/>
      <c r="L52" s="176"/>
      <c r="M52" s="177"/>
      <c r="N52" s="131"/>
      <c r="O52" s="131"/>
      <c r="P52" s="127"/>
      <c r="Q52" s="127"/>
      <c r="R52" s="178"/>
      <c r="S52" s="177">
        <f>SUBTOTAL(9,S47:S51)</f>
        <v>4976300</v>
      </c>
      <c r="T52" s="131"/>
      <c r="U52" s="179"/>
      <c r="V52" s="180"/>
      <c r="W52" s="131"/>
      <c r="X52" s="131"/>
      <c r="Y52" s="131"/>
      <c r="Z52" s="135">
        <f>SUBTOTAL(9,Z47:Z51)</f>
        <v>746500</v>
      </c>
      <c r="AA52" s="181">
        <f>SUBTOTAL(9,AA47:AA51)</f>
        <v>4229800</v>
      </c>
    </row>
    <row r="53" spans="1:27" ht="12.75" thickTop="1" thickBot="1" x14ac:dyDescent="0.25">
      <c r="A53" s="166"/>
      <c r="B53" s="167"/>
      <c r="C53" s="168" t="s">
        <v>189</v>
      </c>
      <c r="D53" s="169"/>
      <c r="E53" s="170"/>
      <c r="F53" s="171">
        <f>SUBTOTAL(9,F13:F51)</f>
        <v>35331178</v>
      </c>
      <c r="G53" s="172"/>
      <c r="H53" s="173"/>
      <c r="I53" s="174"/>
      <c r="J53" s="175"/>
      <c r="K53" s="176"/>
      <c r="L53" s="176"/>
      <c r="M53" s="177"/>
      <c r="N53" s="131"/>
      <c r="O53" s="131"/>
      <c r="P53" s="127"/>
      <c r="Q53" s="127"/>
      <c r="R53" s="178"/>
      <c r="S53" s="177">
        <f>SUBTOTAL(9,S13:S51)</f>
        <v>39333426.700000077</v>
      </c>
      <c r="T53" s="131"/>
      <c r="U53" s="179"/>
      <c r="V53" s="180"/>
      <c r="W53" s="131"/>
      <c r="X53" s="131"/>
      <c r="Y53" s="131"/>
      <c r="Z53" s="135">
        <f>SUBTOTAL(9,Z13:Z51)</f>
        <v>5830845.1460000072</v>
      </c>
      <c r="AA53" s="181">
        <f>SUBTOTAL(9,AA13:AA51)</f>
        <v>33502581.554000072</v>
      </c>
    </row>
    <row r="54" spans="1:27" ht="16.5" customHeight="1" thickTop="1" thickBot="1" x14ac:dyDescent="0.25">
      <c r="A54" s="351" t="s">
        <v>122</v>
      </c>
      <c r="B54" s="352"/>
      <c r="C54" s="352"/>
      <c r="D54" s="352"/>
      <c r="E54" s="352"/>
      <c r="F54" s="352"/>
      <c r="G54" s="352"/>
      <c r="H54" s="353"/>
      <c r="I54" s="351" t="s">
        <v>123</v>
      </c>
      <c r="J54" s="353"/>
      <c r="K54" s="182" t="s">
        <v>124</v>
      </c>
      <c r="L54" s="182" t="s">
        <v>94</v>
      </c>
      <c r="M54" s="355" t="s">
        <v>125</v>
      </c>
      <c r="N54" s="356"/>
      <c r="O54" s="356"/>
      <c r="P54" s="356"/>
      <c r="Q54" s="356"/>
      <c r="R54" s="357"/>
      <c r="S54" s="125"/>
      <c r="T54" s="126"/>
      <c r="U54" s="128"/>
      <c r="V54" s="183" t="s">
        <v>126</v>
      </c>
      <c r="W54" s="126"/>
      <c r="X54" s="126"/>
      <c r="Y54" s="126"/>
      <c r="Z54" s="126"/>
      <c r="AA54" s="128"/>
    </row>
    <row r="55" spans="1:27" ht="12.75" thickTop="1" thickBot="1" x14ac:dyDescent="0.25">
      <c r="A55" s="355" t="s">
        <v>83</v>
      </c>
      <c r="B55" s="356"/>
      <c r="C55" s="356"/>
      <c r="D55" s="356"/>
      <c r="E55" s="357"/>
      <c r="F55" s="351" t="s">
        <v>85</v>
      </c>
      <c r="G55" s="352"/>
      <c r="H55" s="353"/>
      <c r="I55" s="361" t="s">
        <v>116</v>
      </c>
      <c r="J55" s="362"/>
      <c r="K55" s="184">
        <f>IF(SUMIF($F$13:$F$50,"&gt;7812420",$F$13:$F$50),((SUMIF($F$13:$F$50,"&gt;7812420",$F$13:$F$50)*70%)*8.5%),0)</f>
        <v>1071000</v>
      </c>
      <c r="L55" s="185"/>
      <c r="M55" s="358"/>
      <c r="N55" s="359"/>
      <c r="O55" s="359"/>
      <c r="P55" s="359"/>
      <c r="Q55" s="359"/>
      <c r="R55" s="360"/>
      <c r="S55" s="141"/>
      <c r="T55" s="142"/>
      <c r="U55" s="144"/>
      <c r="V55" s="129"/>
      <c r="W55" s="130"/>
      <c r="X55" s="130"/>
      <c r="Y55" s="130"/>
      <c r="Z55" s="130"/>
      <c r="AA55" s="132"/>
    </row>
    <row r="56" spans="1:27" ht="12.75" thickTop="1" thickBot="1" x14ac:dyDescent="0.25">
      <c r="A56" s="358"/>
      <c r="B56" s="359"/>
      <c r="C56" s="359"/>
      <c r="D56" s="359"/>
      <c r="E56" s="360"/>
      <c r="F56" s="361" t="s">
        <v>116</v>
      </c>
      <c r="G56" s="362"/>
      <c r="H56" s="186">
        <f>SUM(U13:U50)</f>
        <v>1327321.0680000039</v>
      </c>
      <c r="I56" s="361" t="s">
        <v>117</v>
      </c>
      <c r="J56" s="362"/>
      <c r="K56" s="184">
        <f>(E63-E59)*12%</f>
        <v>8037144.5640000105</v>
      </c>
      <c r="L56" s="185"/>
      <c r="M56" s="363" t="s">
        <v>127</v>
      </c>
      <c r="N56" s="364"/>
      <c r="O56" s="365">
        <v>781242</v>
      </c>
      <c r="P56" s="366"/>
      <c r="Q56" s="366"/>
      <c r="R56" s="367"/>
      <c r="S56" s="351" t="s">
        <v>128</v>
      </c>
      <c r="T56" s="352"/>
      <c r="U56" s="353"/>
      <c r="V56" s="129" t="s">
        <v>129</v>
      </c>
      <c r="W56" s="130"/>
      <c r="X56" s="130"/>
      <c r="Y56" s="130"/>
      <c r="Z56" s="130"/>
      <c r="AA56" s="132"/>
    </row>
    <row r="57" spans="1:27" ht="12.75" thickTop="1" thickBot="1" x14ac:dyDescent="0.25">
      <c r="A57" s="334" t="s">
        <v>130</v>
      </c>
      <c r="B57" s="347"/>
      <c r="C57" s="347"/>
      <c r="D57" s="335"/>
      <c r="E57" s="185">
        <f>SUM(F13:F50)</f>
        <v>65562356</v>
      </c>
      <c r="F57" s="348" t="s">
        <v>131</v>
      </c>
      <c r="G57" s="348"/>
      <c r="H57" s="186">
        <f>SUM(V13:V50)</f>
        <v>1327321.0680000039</v>
      </c>
      <c r="I57" s="348" t="s">
        <v>132</v>
      </c>
      <c r="J57" s="348"/>
      <c r="K57" s="184">
        <f>E63*8.33%</f>
        <v>5782386.511510008</v>
      </c>
      <c r="L57" s="185"/>
      <c r="M57" s="318" t="s">
        <v>133</v>
      </c>
      <c r="N57" s="318"/>
      <c r="O57" s="354">
        <v>88200</v>
      </c>
      <c r="P57" s="354"/>
      <c r="Q57" s="354"/>
      <c r="R57" s="354"/>
      <c r="S57" s="187" t="s">
        <v>134</v>
      </c>
      <c r="T57" s="187"/>
      <c r="U57" s="188">
        <v>1.25</v>
      </c>
      <c r="V57" s="129" t="s">
        <v>135</v>
      </c>
      <c r="W57" s="130"/>
      <c r="X57" s="130"/>
      <c r="Y57" s="130"/>
      <c r="Z57" s="130"/>
      <c r="AA57" s="132"/>
    </row>
    <row r="58" spans="1:27" ht="12.75" thickTop="1" thickBot="1" x14ac:dyDescent="0.25">
      <c r="A58" s="334" t="s">
        <v>110</v>
      </c>
      <c r="B58" s="347"/>
      <c r="C58" s="347"/>
      <c r="D58" s="335"/>
      <c r="E58" s="185">
        <f>SUM(O13:O51)</f>
        <v>533848.70000000007</v>
      </c>
      <c r="F58" s="348" t="s">
        <v>132</v>
      </c>
      <c r="G58" s="348"/>
      <c r="H58" s="186"/>
      <c r="I58" s="348" t="s">
        <v>136</v>
      </c>
      <c r="J58" s="348"/>
      <c r="K58" s="184">
        <f>E63*1%</f>
        <v>694164.04700000095</v>
      </c>
      <c r="L58" s="185"/>
      <c r="M58" s="318" t="s">
        <v>137</v>
      </c>
      <c r="N58" s="318"/>
      <c r="O58" s="349">
        <v>0.04</v>
      </c>
      <c r="P58" s="350"/>
      <c r="Q58" s="350"/>
      <c r="R58" s="350"/>
      <c r="S58" s="187" t="s">
        <v>138</v>
      </c>
      <c r="T58" s="187"/>
      <c r="U58" s="188">
        <v>1.75</v>
      </c>
      <c r="V58" s="129"/>
      <c r="W58" s="130"/>
      <c r="X58" s="130"/>
      <c r="Y58" s="130"/>
      <c r="Z58" s="130"/>
      <c r="AA58" s="132"/>
    </row>
    <row r="59" spans="1:27" ht="12.75" thickTop="1" thickBot="1" x14ac:dyDescent="0.25">
      <c r="A59" s="334" t="s">
        <v>111</v>
      </c>
      <c r="B59" s="347"/>
      <c r="C59" s="347"/>
      <c r="D59" s="335"/>
      <c r="E59" s="185">
        <f>SUM(P13:P50)</f>
        <v>2440200</v>
      </c>
      <c r="F59" s="348" t="s">
        <v>118</v>
      </c>
      <c r="G59" s="348"/>
      <c r="H59" s="186">
        <f>SUM(W13:W51)</f>
        <v>63000</v>
      </c>
      <c r="I59" s="348" t="s">
        <v>139</v>
      </c>
      <c r="J59" s="348"/>
      <c r="K59" s="184">
        <f>E63*8.33%</f>
        <v>5782386.511510008</v>
      </c>
      <c r="L59" s="185"/>
      <c r="M59" s="318" t="s">
        <v>140</v>
      </c>
      <c r="N59" s="318"/>
      <c r="O59" s="349">
        <v>0.04</v>
      </c>
      <c r="P59" s="349"/>
      <c r="Q59" s="349"/>
      <c r="R59" s="349"/>
      <c r="S59" s="187" t="s">
        <v>141</v>
      </c>
      <c r="T59" s="187"/>
      <c r="U59" s="188">
        <v>2.25</v>
      </c>
      <c r="V59" s="129"/>
      <c r="W59" s="130"/>
      <c r="X59" s="130"/>
      <c r="Y59" s="130"/>
      <c r="Z59" s="130"/>
      <c r="AA59" s="132"/>
    </row>
    <row r="60" spans="1:27" ht="12.75" thickTop="1" thickBot="1" x14ac:dyDescent="0.25">
      <c r="A60" s="334" t="s">
        <v>112</v>
      </c>
      <c r="B60" s="347"/>
      <c r="C60" s="347"/>
      <c r="D60" s="335"/>
      <c r="E60" s="185">
        <f>SUM(Q13:Q50)</f>
        <v>239999.99999999997</v>
      </c>
      <c r="F60" s="348" t="s">
        <v>119</v>
      </c>
      <c r="G60" s="348"/>
      <c r="H60" s="186">
        <f>SUM(X13:X50)</f>
        <v>2433747.1199999992</v>
      </c>
      <c r="I60" s="348" t="s">
        <v>142</v>
      </c>
      <c r="J60" s="348"/>
      <c r="K60" s="184">
        <f>(E63-E59)*4.17%</f>
        <v>2792907.7359900041</v>
      </c>
      <c r="L60" s="185"/>
      <c r="M60" s="318" t="s">
        <v>143</v>
      </c>
      <c r="N60" s="318"/>
      <c r="O60" s="189">
        <v>0.01</v>
      </c>
      <c r="P60" s="190"/>
      <c r="Q60" s="191"/>
      <c r="R60" s="191"/>
      <c r="S60" s="187" t="s">
        <v>144</v>
      </c>
      <c r="T60" s="187"/>
      <c r="U60" s="188">
        <v>2.75</v>
      </c>
      <c r="V60" s="129"/>
      <c r="W60" s="130"/>
      <c r="X60" s="130"/>
      <c r="Y60" s="130"/>
      <c r="Z60" s="130"/>
      <c r="AA60" s="132"/>
    </row>
    <row r="61" spans="1:27" ht="12.75" thickTop="1" thickBot="1" x14ac:dyDescent="0.25">
      <c r="A61" s="192"/>
      <c r="B61" s="193"/>
      <c r="C61" s="193"/>
      <c r="D61" s="194"/>
      <c r="E61" s="185"/>
      <c r="F61" s="195"/>
      <c r="G61" s="196"/>
      <c r="H61" s="186"/>
      <c r="I61" s="348" t="s">
        <v>145</v>
      </c>
      <c r="J61" s="348"/>
      <c r="K61" s="184">
        <f>$F$28*70%*2%</f>
        <v>12600</v>
      </c>
      <c r="L61" s="185"/>
      <c r="M61" s="195"/>
      <c r="N61" s="195"/>
      <c r="O61" s="189"/>
      <c r="P61" s="190"/>
      <c r="Q61" s="191"/>
      <c r="R61" s="191"/>
      <c r="S61" s="197"/>
      <c r="T61" s="198"/>
      <c r="U61" s="199"/>
      <c r="V61" s="129"/>
      <c r="W61" s="130"/>
      <c r="X61" s="130"/>
      <c r="Y61" s="130"/>
      <c r="Z61" s="130"/>
      <c r="AA61" s="132"/>
    </row>
    <row r="62" spans="1:27" ht="12.75" thickTop="1" thickBot="1" x14ac:dyDescent="0.25">
      <c r="A62" s="334" t="s">
        <v>113</v>
      </c>
      <c r="B62" s="347"/>
      <c r="C62" s="347"/>
      <c r="D62" s="335"/>
      <c r="E62" s="185">
        <f>SUM(R13:R51)</f>
        <v>640000.00000008999</v>
      </c>
      <c r="F62" s="348" t="s">
        <v>120</v>
      </c>
      <c r="G62" s="348"/>
      <c r="H62" s="186">
        <f>SUM(Y13:Y50)</f>
        <v>530155.89000000013</v>
      </c>
      <c r="I62" s="348" t="s">
        <v>146</v>
      </c>
      <c r="J62" s="348"/>
      <c r="K62" s="184">
        <f>$F$28*70%*3%</f>
        <v>18900</v>
      </c>
      <c r="L62" s="185"/>
      <c r="M62" s="318" t="s">
        <v>147</v>
      </c>
      <c r="N62" s="318"/>
      <c r="O62" s="190">
        <v>200000000</v>
      </c>
      <c r="P62" s="190"/>
      <c r="Q62" s="190"/>
      <c r="R62" s="190"/>
      <c r="S62" s="125"/>
      <c r="T62" s="126"/>
      <c r="U62" s="128"/>
      <c r="V62" s="129"/>
      <c r="W62" s="130"/>
      <c r="X62" s="130"/>
      <c r="Y62" s="130"/>
      <c r="Z62" s="130"/>
      <c r="AA62" s="132"/>
    </row>
    <row r="63" spans="1:27" ht="12.75" thickTop="1" thickBot="1" x14ac:dyDescent="0.25">
      <c r="A63" s="338" t="s">
        <v>148</v>
      </c>
      <c r="B63" s="329"/>
      <c r="C63" s="329"/>
      <c r="D63" s="330"/>
      <c r="E63" s="339">
        <f>SUM(E57:E62)</f>
        <v>69416404.700000092</v>
      </c>
      <c r="F63" s="338" t="s">
        <v>149</v>
      </c>
      <c r="G63" s="330"/>
      <c r="H63" s="341">
        <f>SUM(H56:H62)</f>
        <v>5681545.1460000072</v>
      </c>
      <c r="I63" s="338" t="s">
        <v>150</v>
      </c>
      <c r="J63" s="330"/>
      <c r="K63" s="343">
        <f>SUM(K55:K62)</f>
        <v>24191489.37001003</v>
      </c>
      <c r="L63" s="344"/>
      <c r="M63" s="318" t="s">
        <v>151</v>
      </c>
      <c r="N63" s="318"/>
      <c r="O63" s="321">
        <v>2.9999999999999997E-4</v>
      </c>
      <c r="P63" s="321"/>
      <c r="Q63" s="321"/>
      <c r="R63" s="321"/>
      <c r="S63" s="129"/>
      <c r="T63" s="130"/>
      <c r="U63" s="132"/>
      <c r="V63" s="129"/>
      <c r="W63" s="130"/>
      <c r="X63" s="130"/>
      <c r="Y63" s="130"/>
      <c r="Z63" s="130"/>
      <c r="AA63" s="132"/>
    </row>
    <row r="64" spans="1:27" ht="12.75" thickTop="1" thickBot="1" x14ac:dyDescent="0.25">
      <c r="A64" s="331"/>
      <c r="B64" s="332"/>
      <c r="C64" s="332"/>
      <c r="D64" s="333"/>
      <c r="E64" s="340"/>
      <c r="F64" s="331"/>
      <c r="G64" s="333"/>
      <c r="H64" s="342"/>
      <c r="I64" s="331"/>
      <c r="J64" s="333"/>
      <c r="K64" s="345"/>
      <c r="L64" s="346"/>
      <c r="M64" s="318" t="s">
        <v>152</v>
      </c>
      <c r="N64" s="318"/>
      <c r="O64" s="200">
        <v>0.05</v>
      </c>
      <c r="P64" s="184">
        <v>0.1</v>
      </c>
      <c r="Q64" s="200">
        <v>7.0000000000000007E-2</v>
      </c>
      <c r="R64" s="200">
        <v>0.04</v>
      </c>
      <c r="S64" s="129"/>
      <c r="T64" s="130"/>
      <c r="U64" s="132"/>
      <c r="V64" s="129"/>
      <c r="W64" s="130"/>
      <c r="X64" s="130"/>
      <c r="Y64" s="130"/>
      <c r="Z64" s="130"/>
      <c r="AA64" s="132"/>
    </row>
    <row r="65" spans="1:27" ht="12.75" thickTop="1" thickBot="1" x14ac:dyDescent="0.25">
      <c r="A65" s="322" t="s">
        <v>153</v>
      </c>
      <c r="B65" s="323"/>
      <c r="C65" s="323"/>
      <c r="D65" s="323"/>
      <c r="E65" s="324"/>
      <c r="F65" s="328">
        <f>AA51</f>
        <v>848900</v>
      </c>
      <c r="G65" s="329"/>
      <c r="H65" s="330"/>
      <c r="I65" s="334" t="s">
        <v>154</v>
      </c>
      <c r="J65" s="335"/>
      <c r="K65" s="336" t="s">
        <v>155</v>
      </c>
      <c r="L65" s="337"/>
      <c r="M65" s="318" t="s">
        <v>156</v>
      </c>
      <c r="N65" s="318"/>
      <c r="O65" s="201">
        <v>5.0000000000000001E-3</v>
      </c>
      <c r="P65" s="184">
        <v>0.02</v>
      </c>
      <c r="Q65" s="202"/>
      <c r="R65" s="202"/>
      <c r="S65" s="129"/>
      <c r="T65" s="130"/>
      <c r="U65" s="132"/>
      <c r="V65" s="129"/>
      <c r="W65" s="130"/>
      <c r="X65" s="130"/>
      <c r="Y65" s="130"/>
      <c r="Z65" s="130"/>
      <c r="AA65" s="132"/>
    </row>
    <row r="66" spans="1:27" ht="12.75" thickTop="1" thickBot="1" x14ac:dyDescent="0.25">
      <c r="A66" s="325"/>
      <c r="B66" s="326"/>
      <c r="C66" s="326"/>
      <c r="D66" s="326"/>
      <c r="E66" s="327"/>
      <c r="F66" s="331"/>
      <c r="G66" s="332"/>
      <c r="H66" s="333"/>
      <c r="I66" s="334" t="s">
        <v>157</v>
      </c>
      <c r="J66" s="335"/>
      <c r="K66" s="336" t="s">
        <v>158</v>
      </c>
      <c r="L66" s="337"/>
      <c r="M66" s="318" t="s">
        <v>159</v>
      </c>
      <c r="N66" s="318"/>
      <c r="O66" s="319">
        <v>2.0000000000000001E-4</v>
      </c>
      <c r="P66" s="320"/>
      <c r="Q66" s="319">
        <v>2.9999999999999997E-4</v>
      </c>
      <c r="R66" s="320"/>
      <c r="S66" s="141"/>
      <c r="T66" s="142"/>
      <c r="U66" s="144"/>
      <c r="V66" s="141"/>
      <c r="W66" s="142"/>
      <c r="X66" s="142"/>
      <c r="Y66" s="142"/>
      <c r="Z66" s="142"/>
      <c r="AA66" s="144"/>
    </row>
    <row r="67" spans="1:27" ht="12" thickTop="1" x14ac:dyDescent="0.2"/>
  </sheetData>
  <mergeCells count="64">
    <mergeCell ref="A4:Z4"/>
    <mergeCell ref="A6:N6"/>
    <mergeCell ref="O6:Z6"/>
    <mergeCell ref="G10:R10"/>
    <mergeCell ref="S10:S11"/>
    <mergeCell ref="T10:T11"/>
    <mergeCell ref="U10:Y10"/>
    <mergeCell ref="G11:J11"/>
    <mergeCell ref="K11:N11"/>
    <mergeCell ref="U11:W11"/>
    <mergeCell ref="A54:H54"/>
    <mergeCell ref="I54:J54"/>
    <mergeCell ref="M54:R55"/>
    <mergeCell ref="A55:E56"/>
    <mergeCell ref="F55:H55"/>
    <mergeCell ref="I55:J55"/>
    <mergeCell ref="F56:G56"/>
    <mergeCell ref="I56:J56"/>
    <mergeCell ref="M56:N56"/>
    <mergeCell ref="O56:R56"/>
    <mergeCell ref="S56:U56"/>
    <mergeCell ref="A57:D57"/>
    <mergeCell ref="F57:G57"/>
    <mergeCell ref="I57:J57"/>
    <mergeCell ref="M57:N57"/>
    <mergeCell ref="O57:R57"/>
    <mergeCell ref="A59:D59"/>
    <mergeCell ref="F59:G59"/>
    <mergeCell ref="I59:J59"/>
    <mergeCell ref="M59:N59"/>
    <mergeCell ref="O59:R59"/>
    <mergeCell ref="A58:D58"/>
    <mergeCell ref="F58:G58"/>
    <mergeCell ref="I58:J58"/>
    <mergeCell ref="M58:N58"/>
    <mergeCell ref="O58:R58"/>
    <mergeCell ref="K63:L64"/>
    <mergeCell ref="A60:D60"/>
    <mergeCell ref="F60:G60"/>
    <mergeCell ref="I60:J60"/>
    <mergeCell ref="M60:N60"/>
    <mergeCell ref="I61:J61"/>
    <mergeCell ref="A62:D62"/>
    <mergeCell ref="F62:G62"/>
    <mergeCell ref="I62:J62"/>
    <mergeCell ref="M62:N62"/>
    <mergeCell ref="A63:D64"/>
    <mergeCell ref="E63:E64"/>
    <mergeCell ref="F63:G64"/>
    <mergeCell ref="H63:H64"/>
    <mergeCell ref="I63:J64"/>
    <mergeCell ref="A65:E66"/>
    <mergeCell ref="F65:H66"/>
    <mergeCell ref="I65:J65"/>
    <mergeCell ref="K65:L65"/>
    <mergeCell ref="M65:N65"/>
    <mergeCell ref="I66:J66"/>
    <mergeCell ref="K66:L66"/>
    <mergeCell ref="M66:N66"/>
    <mergeCell ref="O66:P66"/>
    <mergeCell ref="Q66:R66"/>
    <mergeCell ref="M63:N63"/>
    <mergeCell ref="O63:R63"/>
    <mergeCell ref="M64:N6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702F1-DF18-4A54-9D85-1C1F8584A0CD}">
  <dimension ref="A1:A103"/>
  <sheetViews>
    <sheetView workbookViewId="0">
      <selection activeCell="G23" sqref="G23"/>
    </sheetView>
  </sheetViews>
  <sheetFormatPr baseColWidth="10" defaultRowHeight="11.25" x14ac:dyDescent="0.2"/>
  <cols>
    <col min="1" max="1" width="19" style="108" customWidth="1"/>
    <col min="2" max="2" width="23" style="108" customWidth="1"/>
    <col min="3" max="3" width="17" style="108" bestFit="1" customWidth="1"/>
    <col min="4" max="4" width="9.28515625" style="108" customWidth="1"/>
    <col min="5" max="5" width="10.42578125" style="108" customWidth="1"/>
    <col min="6" max="6" width="8.28515625" style="108" customWidth="1"/>
    <col min="7" max="8" width="9" style="108" customWidth="1"/>
    <col min="9" max="9" width="10.42578125" style="108" customWidth="1"/>
    <col min="10" max="10" width="9.85546875" style="108" customWidth="1"/>
    <col min="11" max="11" width="13.140625" style="108" bestFit="1" customWidth="1"/>
    <col min="12" max="16384" width="11.42578125" style="108"/>
  </cols>
  <sheetData>
    <row r="1" spans="1:1" x14ac:dyDescent="0.2">
      <c r="A1" s="108" t="s">
        <v>190</v>
      </c>
    </row>
    <row r="3" spans="1:1" x14ac:dyDescent="0.2">
      <c r="A3" s="203" t="s">
        <v>191</v>
      </c>
    </row>
    <row r="4" spans="1:1" x14ac:dyDescent="0.2">
      <c r="A4" s="204" t="s">
        <v>24</v>
      </c>
    </row>
    <row r="5" spans="1:1" x14ac:dyDescent="0.2">
      <c r="A5" s="205" t="s">
        <v>22</v>
      </c>
    </row>
    <row r="6" spans="1:1" x14ac:dyDescent="0.2">
      <c r="A6" s="204" t="s">
        <v>13</v>
      </c>
    </row>
    <row r="7" spans="1:1" x14ac:dyDescent="0.2">
      <c r="A7" s="205" t="s">
        <v>11</v>
      </c>
    </row>
    <row r="8" spans="1:1" x14ac:dyDescent="0.2">
      <c r="A8" s="205" t="s">
        <v>31</v>
      </c>
    </row>
    <row r="9" spans="1:1" x14ac:dyDescent="0.2">
      <c r="A9" s="205" t="s">
        <v>39</v>
      </c>
    </row>
    <row r="10" spans="1:1" x14ac:dyDescent="0.2">
      <c r="A10" s="205" t="s">
        <v>45</v>
      </c>
    </row>
    <row r="11" spans="1:1" x14ac:dyDescent="0.2">
      <c r="A11" s="205" t="s">
        <v>51</v>
      </c>
    </row>
    <row r="12" spans="1:1" x14ac:dyDescent="0.2">
      <c r="A12" s="205" t="s">
        <v>68</v>
      </c>
    </row>
    <row r="13" spans="1:1" x14ac:dyDescent="0.2">
      <c r="A13" s="205" t="s">
        <v>70</v>
      </c>
    </row>
    <row r="14" spans="1:1" x14ac:dyDescent="0.2">
      <c r="A14" s="204" t="s">
        <v>7</v>
      </c>
    </row>
    <row r="15" spans="1:1" x14ac:dyDescent="0.2">
      <c r="A15" s="205" t="s">
        <v>5</v>
      </c>
    </row>
    <row r="16" spans="1:1" x14ac:dyDescent="0.2">
      <c r="A16" s="205" t="s">
        <v>29</v>
      </c>
    </row>
    <row r="17" spans="1:1" x14ac:dyDescent="0.2">
      <c r="A17" s="205" t="s">
        <v>47</v>
      </c>
    </row>
    <row r="18" spans="1:1" x14ac:dyDescent="0.2">
      <c r="A18" s="204" t="s">
        <v>57</v>
      </c>
    </row>
    <row r="19" spans="1:1" x14ac:dyDescent="0.2">
      <c r="A19" s="205" t="s">
        <v>55</v>
      </c>
    </row>
    <row r="20" spans="1:1" x14ac:dyDescent="0.2">
      <c r="A20" s="205" t="s">
        <v>72</v>
      </c>
    </row>
    <row r="21" spans="1:1" x14ac:dyDescent="0.2">
      <c r="A21" s="204" t="s">
        <v>38</v>
      </c>
    </row>
    <row r="22" spans="1:1" x14ac:dyDescent="0.2">
      <c r="A22" s="205" t="s">
        <v>36</v>
      </c>
    </row>
    <row r="23" spans="1:1" x14ac:dyDescent="0.2">
      <c r="A23" s="204" t="s">
        <v>35</v>
      </c>
    </row>
    <row r="24" spans="1:1" x14ac:dyDescent="0.2">
      <c r="A24" s="205" t="s">
        <v>33</v>
      </c>
    </row>
    <row r="25" spans="1:1" x14ac:dyDescent="0.2">
      <c r="A25" s="205" t="s">
        <v>43</v>
      </c>
    </row>
    <row r="26" spans="1:1" x14ac:dyDescent="0.2">
      <c r="A26" s="205" t="s">
        <v>53</v>
      </c>
    </row>
    <row r="27" spans="1:1" x14ac:dyDescent="0.2">
      <c r="A27" s="205" t="s">
        <v>62</v>
      </c>
    </row>
    <row r="28" spans="1:1" x14ac:dyDescent="0.2">
      <c r="A28" s="205" t="s">
        <v>64</v>
      </c>
    </row>
    <row r="29" spans="1:1" x14ac:dyDescent="0.2">
      <c r="A29" s="205" t="s">
        <v>66</v>
      </c>
    </row>
    <row r="30" spans="1:1" x14ac:dyDescent="0.2">
      <c r="A30" s="204" t="s">
        <v>16</v>
      </c>
    </row>
    <row r="31" spans="1:1" x14ac:dyDescent="0.2">
      <c r="A31" s="205" t="s">
        <v>14</v>
      </c>
    </row>
    <row r="32" spans="1:1" x14ac:dyDescent="0.2">
      <c r="A32" s="205" t="s">
        <v>58</v>
      </c>
    </row>
    <row r="33" spans="1:1" x14ac:dyDescent="0.2">
      <c r="A33" s="204" t="s">
        <v>19</v>
      </c>
    </row>
    <row r="34" spans="1:1" x14ac:dyDescent="0.2">
      <c r="A34" s="205" t="s">
        <v>17</v>
      </c>
    </row>
    <row r="35" spans="1:1" x14ac:dyDescent="0.2">
      <c r="A35" s="205" t="s">
        <v>27</v>
      </c>
    </row>
    <row r="36" spans="1:1" x14ac:dyDescent="0.2">
      <c r="A36" s="205" t="s">
        <v>60</v>
      </c>
    </row>
    <row r="37" spans="1:1" x14ac:dyDescent="0.2">
      <c r="A37" s="204" t="s">
        <v>10</v>
      </c>
    </row>
    <row r="38" spans="1:1" x14ac:dyDescent="0.2">
      <c r="A38" s="205" t="s">
        <v>8</v>
      </c>
    </row>
    <row r="39" spans="1:1" x14ac:dyDescent="0.2">
      <c r="A39" s="205" t="s">
        <v>20</v>
      </c>
    </row>
    <row r="40" spans="1:1" x14ac:dyDescent="0.2">
      <c r="A40" s="205" t="s">
        <v>25</v>
      </c>
    </row>
    <row r="41" spans="1:1" x14ac:dyDescent="0.2">
      <c r="A41" s="205" t="s">
        <v>41</v>
      </c>
    </row>
    <row r="42" spans="1:1" x14ac:dyDescent="0.2">
      <c r="A42" s="205" t="s">
        <v>49</v>
      </c>
    </row>
    <row r="43" spans="1:1" x14ac:dyDescent="0.2">
      <c r="A43" s="205" t="s">
        <v>192</v>
      </c>
    </row>
    <row r="44" spans="1:1" x14ac:dyDescent="0.2">
      <c r="A44" s="205" t="s">
        <v>192</v>
      </c>
    </row>
    <row r="45" spans="1:1" x14ac:dyDescent="0.2">
      <c r="A45" s="205" t="s">
        <v>193</v>
      </c>
    </row>
    <row r="46" spans="1:1" x14ac:dyDescent="0.2">
      <c r="A46" s="205" t="s">
        <v>193</v>
      </c>
    </row>
    <row r="47" spans="1:1" x14ac:dyDescent="0.2">
      <c r="A47" s="205" t="s">
        <v>194</v>
      </c>
    </row>
    <row r="48" spans="1:1" x14ac:dyDescent="0.2">
      <c r="A48" s="205" t="s">
        <v>194</v>
      </c>
    </row>
    <row r="49" spans="1:1" x14ac:dyDescent="0.2">
      <c r="A49" s="205" t="s">
        <v>195</v>
      </c>
    </row>
    <row r="50" spans="1:1" x14ac:dyDescent="0.2">
      <c r="A50" s="205" t="s">
        <v>195</v>
      </c>
    </row>
    <row r="51" spans="1:1" x14ac:dyDescent="0.2">
      <c r="A51" s="205" t="s">
        <v>196</v>
      </c>
    </row>
    <row r="52" spans="1:1" x14ac:dyDescent="0.2">
      <c r="A52" s="205" t="s">
        <v>196</v>
      </c>
    </row>
    <row r="53" spans="1:1" x14ac:dyDescent="0.2">
      <c r="A53" s="205" t="s">
        <v>197</v>
      </c>
    </row>
    <row r="54" spans="1:1" x14ac:dyDescent="0.2">
      <c r="A54" s="205" t="s">
        <v>197</v>
      </c>
    </row>
    <row r="55" spans="1:1" x14ac:dyDescent="0.2">
      <c r="A55" s="205" t="s">
        <v>198</v>
      </c>
    </row>
    <row r="56" spans="1:1" x14ac:dyDescent="0.2">
      <c r="A56" s="205" t="s">
        <v>198</v>
      </c>
    </row>
    <row r="57" spans="1:1" x14ac:dyDescent="0.2">
      <c r="A57" s="205" t="s">
        <v>199</v>
      </c>
    </row>
    <row r="58" spans="1:1" x14ac:dyDescent="0.2">
      <c r="A58" s="205" t="s">
        <v>199</v>
      </c>
    </row>
    <row r="59" spans="1:1" x14ac:dyDescent="0.2">
      <c r="A59" s="205" t="s">
        <v>200</v>
      </c>
    </row>
    <row r="60" spans="1:1" x14ac:dyDescent="0.2">
      <c r="A60" s="205" t="s">
        <v>200</v>
      </c>
    </row>
    <row r="61" spans="1:1" x14ac:dyDescent="0.2">
      <c r="A61" s="205" t="s">
        <v>201</v>
      </c>
    </row>
    <row r="62" spans="1:1" x14ac:dyDescent="0.2">
      <c r="A62" s="205" t="s">
        <v>201</v>
      </c>
    </row>
    <row r="63" spans="1:1" x14ac:dyDescent="0.2">
      <c r="A63" s="205" t="s">
        <v>202</v>
      </c>
    </row>
    <row r="64" spans="1:1" x14ac:dyDescent="0.2">
      <c r="A64" s="205" t="s">
        <v>202</v>
      </c>
    </row>
    <row r="65" spans="1:1" x14ac:dyDescent="0.2">
      <c r="A65" s="205" t="s">
        <v>203</v>
      </c>
    </row>
    <row r="66" spans="1:1" x14ac:dyDescent="0.2">
      <c r="A66" s="205" t="s">
        <v>203</v>
      </c>
    </row>
    <row r="67" spans="1:1" x14ac:dyDescent="0.2">
      <c r="A67" s="205" t="s">
        <v>204</v>
      </c>
    </row>
    <row r="68" spans="1:1" x14ac:dyDescent="0.2">
      <c r="A68" s="205" t="s">
        <v>204</v>
      </c>
    </row>
    <row r="69" spans="1:1" x14ac:dyDescent="0.2">
      <c r="A69" s="205" t="s">
        <v>205</v>
      </c>
    </row>
    <row r="70" spans="1:1" x14ac:dyDescent="0.2">
      <c r="A70" s="205" t="s">
        <v>205</v>
      </c>
    </row>
    <row r="71" spans="1:1" x14ac:dyDescent="0.2">
      <c r="A71" s="205" t="s">
        <v>206</v>
      </c>
    </row>
    <row r="72" spans="1:1" x14ac:dyDescent="0.2">
      <c r="A72" s="205" t="s">
        <v>206</v>
      </c>
    </row>
    <row r="73" spans="1:1" x14ac:dyDescent="0.2">
      <c r="A73" s="205" t="s">
        <v>207</v>
      </c>
    </row>
    <row r="74" spans="1:1" x14ac:dyDescent="0.2">
      <c r="A74" s="205" t="s">
        <v>207</v>
      </c>
    </row>
    <row r="75" spans="1:1" x14ac:dyDescent="0.2">
      <c r="A75" s="205" t="s">
        <v>208</v>
      </c>
    </row>
    <row r="76" spans="1:1" x14ac:dyDescent="0.2">
      <c r="A76" s="205" t="s">
        <v>208</v>
      </c>
    </row>
    <row r="77" spans="1:1" x14ac:dyDescent="0.2">
      <c r="A77" s="205" t="s">
        <v>209</v>
      </c>
    </row>
    <row r="78" spans="1:1" x14ac:dyDescent="0.2">
      <c r="A78" s="205" t="s">
        <v>209</v>
      </c>
    </row>
    <row r="79" spans="1:1" x14ac:dyDescent="0.2">
      <c r="A79" s="205" t="s">
        <v>210</v>
      </c>
    </row>
    <row r="80" spans="1:1" x14ac:dyDescent="0.2">
      <c r="A80" s="205" t="s">
        <v>210</v>
      </c>
    </row>
    <row r="81" spans="1:1" x14ac:dyDescent="0.2">
      <c r="A81" s="205" t="s">
        <v>211</v>
      </c>
    </row>
    <row r="82" spans="1:1" x14ac:dyDescent="0.2">
      <c r="A82" s="205" t="s">
        <v>211</v>
      </c>
    </row>
    <row r="83" spans="1:1" x14ac:dyDescent="0.2">
      <c r="A83" s="205" t="s">
        <v>212</v>
      </c>
    </row>
    <row r="84" spans="1:1" x14ac:dyDescent="0.2">
      <c r="A84" s="205" t="s">
        <v>212</v>
      </c>
    </row>
    <row r="85" spans="1:1" x14ac:dyDescent="0.2">
      <c r="A85" s="205" t="s">
        <v>213</v>
      </c>
    </row>
    <row r="86" spans="1:1" x14ac:dyDescent="0.2">
      <c r="A86" s="205" t="s">
        <v>213</v>
      </c>
    </row>
    <row r="87" spans="1:1" x14ac:dyDescent="0.2">
      <c r="A87" s="205" t="s">
        <v>214</v>
      </c>
    </row>
    <row r="88" spans="1:1" x14ac:dyDescent="0.2">
      <c r="A88" s="205" t="s">
        <v>214</v>
      </c>
    </row>
    <row r="89" spans="1:1" x14ac:dyDescent="0.2">
      <c r="A89" s="205" t="s">
        <v>215</v>
      </c>
    </row>
    <row r="90" spans="1:1" x14ac:dyDescent="0.2">
      <c r="A90" s="205" t="s">
        <v>215</v>
      </c>
    </row>
    <row r="91" spans="1:1" x14ac:dyDescent="0.2">
      <c r="A91" s="205" t="s">
        <v>216</v>
      </c>
    </row>
    <row r="92" spans="1:1" x14ac:dyDescent="0.2">
      <c r="A92" s="205" t="s">
        <v>216</v>
      </c>
    </row>
    <row r="93" spans="1:1" x14ac:dyDescent="0.2">
      <c r="A93" s="205" t="s">
        <v>217</v>
      </c>
    </row>
    <row r="94" spans="1:1" x14ac:dyDescent="0.2">
      <c r="A94" s="205" t="s">
        <v>217</v>
      </c>
    </row>
    <row r="95" spans="1:1" x14ac:dyDescent="0.2">
      <c r="A95" s="205" t="s">
        <v>218</v>
      </c>
    </row>
    <row r="96" spans="1:1" x14ac:dyDescent="0.2">
      <c r="A96" s="205" t="s">
        <v>218</v>
      </c>
    </row>
    <row r="97" spans="1:1" x14ac:dyDescent="0.2">
      <c r="A97" s="205" t="s">
        <v>219</v>
      </c>
    </row>
    <row r="98" spans="1:1" x14ac:dyDescent="0.2">
      <c r="A98" s="205" t="s">
        <v>219</v>
      </c>
    </row>
    <row r="99" spans="1:1" x14ac:dyDescent="0.2">
      <c r="A99" s="205" t="s">
        <v>220</v>
      </c>
    </row>
    <row r="100" spans="1:1" x14ac:dyDescent="0.2">
      <c r="A100" s="205" t="s">
        <v>220</v>
      </c>
    </row>
    <row r="101" spans="1:1" x14ac:dyDescent="0.2">
      <c r="A101" s="205" t="s">
        <v>221</v>
      </c>
    </row>
    <row r="102" spans="1:1" x14ac:dyDescent="0.2">
      <c r="A102" s="205" t="s">
        <v>221</v>
      </c>
    </row>
    <row r="103" spans="1:1" x14ac:dyDescent="0.2">
      <c r="A103" s="204" t="s">
        <v>189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A4029-BDD3-4148-A752-24E2CBF5ABBA}">
  <dimension ref="A1"/>
  <sheetViews>
    <sheetView tabSelected="1" workbookViewId="0">
      <selection activeCell="E16" sqref="E16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BD EMPLEADOS</vt:lpstr>
      <vt:lpstr>NOMINA</vt:lpstr>
      <vt:lpstr>COLILLA DE PAGO</vt:lpstr>
      <vt:lpstr>14</vt:lpstr>
      <vt:lpstr>15</vt:lpstr>
      <vt:lpstr>16</vt:lpstr>
      <vt:lpstr>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CONTADORA</dc:creator>
  <cp:lastModifiedBy>CONTADORA</cp:lastModifiedBy>
  <dcterms:created xsi:type="dcterms:W3CDTF">2018-11-23T00:52:56Z</dcterms:created>
  <dcterms:modified xsi:type="dcterms:W3CDTF">2018-11-23T01:09:40Z</dcterms:modified>
</cp:coreProperties>
</file>